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icasiancomputerservices.sharepoint.com/sites/FS_Operations/Documents/Sales Admin/Sales Order/Yuen Fun/Website Documents/SINGHEALTH/2026/"/>
    </mc:Choice>
  </mc:AlternateContent>
  <xr:revisionPtr revIDLastSave="1" documentId="8_{8110C86A-E521-4173-AC12-AD48E6AA8E44}" xr6:coauthVersionLast="47" xr6:coauthVersionMax="47" xr10:uidLastSave="{D6A727E0-196F-418B-A3D5-B67D1E169062}"/>
  <bookViews>
    <workbookView xWindow="-108" yWindow="-108" windowWidth="23256" windowHeight="12456" firstSheet="1" activeTab="1" xr2:uid="{00000000-000D-0000-FFFF-FFFF00000000}"/>
  </bookViews>
  <sheets>
    <sheet name="Option" sheetId="1" state="hidden" r:id="rId1"/>
    <sheet name="Data" sheetId="2" r:id="rId2"/>
    <sheet name="Customer Code" sheetId="89" r:id="rId3"/>
    <sheet name="Sheet1" sheetId="96" state="veryHidden" r:id="rId4"/>
    <sheet name="Sheet2" sheetId="97" state="veryHidden" r:id="rId5"/>
    <sheet name="Sheet3" sheetId="98" state="veryHidden" r:id="rId6"/>
    <sheet name="Sheet4" sheetId="99" state="veryHidden" r:id="rId7"/>
    <sheet name="Sheet5" sheetId="102" state="veryHidden" r:id="rId8"/>
    <sheet name="Sheet6" sheetId="103" state="veryHidden" r:id="rId9"/>
  </sheets>
  <definedNames>
    <definedName name="_xlnm._FilterDatabase" localSheetId="1" hidden="1">Data!$K$23:$AB$28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29" i="2" l="1"/>
  <c r="O29" i="2"/>
  <c r="S29" i="2"/>
  <c r="E24" i="2"/>
  <c r="K24" i="2"/>
  <c r="L24" i="2"/>
  <c r="O24" i="2"/>
  <c r="P24" i="2"/>
  <c r="R24" i="2"/>
  <c r="S24" i="2"/>
  <c r="T24" i="2"/>
  <c r="U24" i="2"/>
  <c r="X24" i="2"/>
  <c r="Y24" i="2"/>
  <c r="Z24" i="2"/>
  <c r="AA24" i="2"/>
  <c r="AD24" i="2"/>
  <c r="AG24" i="2"/>
  <c r="AH24" i="2"/>
  <c r="E25" i="2"/>
  <c r="K25" i="2"/>
  <c r="L25" i="2"/>
  <c r="O25" i="2"/>
  <c r="P25" i="2"/>
  <c r="R25" i="2"/>
  <c r="S25" i="2"/>
  <c r="T25" i="2"/>
  <c r="U25" i="2"/>
  <c r="X25" i="2"/>
  <c r="Y25" i="2"/>
  <c r="Z25" i="2"/>
  <c r="AA25" i="2"/>
  <c r="AD25" i="2"/>
  <c r="AG25" i="2"/>
  <c r="AH25" i="2"/>
  <c r="E26" i="2"/>
  <c r="K26" i="2"/>
  <c r="L26" i="2"/>
  <c r="O26" i="2"/>
  <c r="P26" i="2"/>
  <c r="R26" i="2"/>
  <c r="S26" i="2"/>
  <c r="T26" i="2"/>
  <c r="U26" i="2"/>
  <c r="X26" i="2"/>
  <c r="Y26" i="2"/>
  <c r="Z26" i="2"/>
  <c r="AA26" i="2"/>
  <c r="AD26" i="2"/>
  <c r="AG26" i="2"/>
  <c r="AH26" i="2"/>
  <c r="E27" i="2"/>
  <c r="K27" i="2"/>
  <c r="L27" i="2"/>
  <c r="M27" i="2"/>
  <c r="N27" i="2"/>
  <c r="X27" i="2" s="1"/>
  <c r="O27" i="2"/>
  <c r="P27" i="2"/>
  <c r="Q27" i="2"/>
  <c r="S27" i="2"/>
  <c r="T27" i="2"/>
  <c r="V27" i="2"/>
  <c r="W27" i="2"/>
  <c r="AB27" i="2" s="1"/>
  <c r="Y27" i="2"/>
  <c r="Z27" i="2"/>
  <c r="AA27" i="2"/>
  <c r="E28" i="2"/>
  <c r="K28" i="2"/>
  <c r="L28" i="2"/>
  <c r="M28" i="2"/>
  <c r="N28" i="2"/>
  <c r="X28" i="2" s="1"/>
  <c r="O28" i="2"/>
  <c r="P28" i="2"/>
  <c r="Q28" i="2"/>
  <c r="S28" i="2"/>
  <c r="T28" i="2"/>
  <c r="V28" i="2"/>
  <c r="W28" i="2"/>
  <c r="AB28" i="2" s="1"/>
  <c r="Y28" i="2"/>
  <c r="Z28" i="2"/>
  <c r="AA28" i="2"/>
  <c r="D5" i="1"/>
  <c r="B8" i="89"/>
  <c r="B7" i="89"/>
  <c r="E14" i="2"/>
  <c r="E13" i="2"/>
  <c r="H6" i="2"/>
  <c r="H5" i="2"/>
  <c r="H4" i="2"/>
  <c r="E2" i="2"/>
  <c r="D30" i="1"/>
  <c r="D29" i="1"/>
  <c r="D14" i="1"/>
  <c r="D13" i="1"/>
  <c r="C13" i="1"/>
  <c r="E16" i="2" s="1"/>
  <c r="C12" i="1"/>
  <c r="E15" i="2" s="1"/>
  <c r="C11" i="1"/>
  <c r="C10" i="1"/>
  <c r="C9" i="1"/>
  <c r="E11" i="2" s="1"/>
  <c r="C8" i="1"/>
  <c r="C5" i="1"/>
  <c r="E12" i="2" s="1"/>
  <c r="C4" i="1"/>
  <c r="C3" i="1"/>
  <c r="B26" i="2" l="1"/>
  <c r="B25" i="2"/>
  <c r="D5" i="2"/>
  <c r="I6" i="2"/>
  <c r="D4" i="2"/>
  <c r="E4" i="2" s="1"/>
  <c r="D6" i="2"/>
  <c r="I5" i="2"/>
  <c r="E6" i="2" l="1"/>
  <c r="B24" i="2"/>
  <c r="E5" i="2"/>
  <c r="B28" i="2"/>
  <c r="B27" i="2" l="1"/>
</calcChain>
</file>

<file path=xl/sharedStrings.xml><?xml version="1.0" encoding="utf-8"?>
<sst xmlns="http://schemas.openxmlformats.org/spreadsheetml/2006/main" count="937" uniqueCount="261">
  <si>
    <t>Option</t>
  </si>
  <si>
    <t>Title</t>
  </si>
  <si>
    <t>Value</t>
  </si>
  <si>
    <t>Lookup</t>
  </si>
  <si>
    <t>UICACS</t>
  </si>
  <si>
    <t>Date From</t>
  </si>
  <si>
    <t>Date to</t>
  </si>
  <si>
    <t>Hide</t>
  </si>
  <si>
    <t>DateFilter Text</t>
  </si>
  <si>
    <t>DateFilter Value</t>
  </si>
  <si>
    <t>Script2</t>
  </si>
  <si>
    <t>Script1</t>
  </si>
  <si>
    <t>Description</t>
  </si>
  <si>
    <t>Quantity</t>
  </si>
  <si>
    <t>DocNum</t>
  </si>
  <si>
    <t>DocDate</t>
  </si>
  <si>
    <t>PO Date</t>
  </si>
  <si>
    <t>fit</t>
  </si>
  <si>
    <t>Database</t>
  </si>
  <si>
    <t>Final Script</t>
  </si>
  <si>
    <t>Fields</t>
  </si>
  <si>
    <t>From</t>
  </si>
  <si>
    <t>UNION</t>
  </si>
  <si>
    <t>FROM2</t>
  </si>
  <si>
    <t xml:space="preserve">UNION ALL </t>
  </si>
  <si>
    <t>Sales Person</t>
  </si>
  <si>
    <t>Date F TO</t>
  </si>
  <si>
    <t>SP</t>
  </si>
  <si>
    <t>Datasource</t>
  </si>
  <si>
    <t>Agreement No</t>
  </si>
  <si>
    <t>CardCode</t>
  </si>
  <si>
    <t>Name</t>
  </si>
  <si>
    <t>Cust Pur No</t>
  </si>
  <si>
    <t>Items</t>
  </si>
  <si>
    <t>Institution</t>
  </si>
  <si>
    <t>MSENR</t>
  </si>
  <si>
    <t>Script3</t>
  </si>
  <si>
    <t>ENR</t>
  </si>
  <si>
    <t>PRODTYPE</t>
  </si>
  <si>
    <t>BPCODE</t>
  </si>
  <si>
    <t>SINGHEALTH</t>
  </si>
  <si>
    <t>Hide+?</t>
  </si>
  <si>
    <t>ORDER</t>
  </si>
  <si>
    <t>NL1 - IN</t>
  </si>
  <si>
    <t>NL2 - DO-ENR</t>
  </si>
  <si>
    <t>NL3 - DO-MSENR</t>
  </si>
  <si>
    <t xml:space="preserve">SELECT DOCNUM, CUSTREF, U_CUSTREF, DOCDATE,TAXDATE, CARDCODE,CARDNAME,ITEMCODE,ITEMNAME,QUANTITY,U_TLINTCOS,SLPNAME,SLPCODE,MEMO,CONTACTNAME, LINETOTAL ,U_ENR, U_MSENR,U_MSPCN,U_SONO,U_PONO,U_PODATE, ADDRESS2 FROM   </t>
  </si>
  <si>
    <t xml:space="preserve">SELECT DOCNUM, CUSTREF, U_CUSTREF, DOCDATE,TAXDATE, CARDCODE,CARDNAME,ITEMCODE,ITEMNAME,QUANTITY,U_TLINTCOS,SLPNAME,SLPCODE,MEMO,CONTACTNAME, LINETOTAL ,U_ENR, U_MSENR,U_MSPCN,U_SONO,U_PONO,U_PODATE, ADDRESS2  FROM   </t>
  </si>
  <si>
    <t>hide</t>
  </si>
  <si>
    <t>Unit Price</t>
  </si>
  <si>
    <t>Total</t>
  </si>
  <si>
    <t>5,6,7,8,9,10,11,12,13,14,15,16,17,18,19,20,21,22,23,24,25,26,27,28,29,30,31,32,33,34,35,36,37,38,39,40,41,42,43,44,45,46,47,48,49,50,51,52,53,54,55,56,57,58,59,60,61,62,63,64,65,66,67,68,69,70,71,72,73,74,75,76,77,78,79,80,81,82,83,84,85,86,87,88,89,90,91,92,93,94,95,96,97,98,99,100,101,102,103,104,105,106,107,108,109,110,111.112,113,114,115,116,117,123</t>
  </si>
  <si>
    <t>SHS</t>
  </si>
  <si>
    <t>Original Code  - before Mar 2020</t>
  </si>
  <si>
    <t>Month</t>
  </si>
  <si>
    <t>Year</t>
  </si>
  <si>
    <t>PCN</t>
  </si>
  <si>
    <t>Cluster</t>
  </si>
  <si>
    <t>Date of Licenses key Emailed</t>
  </si>
  <si>
    <t>Elasped days for delivery</t>
  </si>
  <si>
    <t>Bulk Purchase Discount %</t>
  </si>
  <si>
    <t>PO Value</t>
  </si>
  <si>
    <t>Reseller</t>
  </si>
  <si>
    <t>Delivery Location</t>
  </si>
  <si>
    <t>Category</t>
  </si>
  <si>
    <t>Software  Brand</t>
  </si>
  <si>
    <t>Software  SKU/Part No</t>
  </si>
  <si>
    <t>Software  Name</t>
  </si>
  <si>
    <t>Software  Subscription</t>
  </si>
  <si>
    <t>Software License Commencement Date</t>
  </si>
  <si>
    <t>Software License End Date</t>
  </si>
  <si>
    <t>Remarks</t>
  </si>
  <si>
    <t>UIC</t>
  </si>
  <si>
    <t xml:space="preserve"> </t>
  </si>
  <si>
    <t>Microsoft</t>
  </si>
  <si>
    <t>Singhealth</t>
  </si>
  <si>
    <t>Auto+Hide</t>
  </si>
  <si>
    <t>="*"</t>
  </si>
  <si>
    <t>=NL("Lookup","OSLP",{"SlpCode","SlpName","Memo"},"Schema=",$C$2)</t>
  </si>
  <si>
    <t>=TEXT($C$3,"dd/MMM/yyyy") &amp; ".." &amp; TEXT($C$4,"dd/MMM/yyyy")</t>
  </si>
  <si>
    <t>=TEXT($C$3,"yyyyMMdd") &amp; ".." &amp; TEXT($C$4,"yyyyMMdd")</t>
  </si>
  <si>
    <t>="'S7138270','7138270' "</t>
  </si>
  <si>
    <t>="'MS'"</t>
  </si>
  <si>
    <t>=$D$13&amp;$D$14</t>
  </si>
  <si>
    <t>="'CI1077-SGD', 'CI1136-SGD', 'CI1137-SGD', 'CI1139-SGD', 'CI1146-SGD', 'CI1185-SGD', 'CI1190-SGD','CI1209-SGD','CI1232-SGD','CI1256-SGD','CN0015-SGD','CE0080-SGD','CS0084-SGD',"</t>
  </si>
  <si>
    <t>="'CS0085-SGD','CI1238-SGD','CI1190-SGD','CS0086-SGD','CS0507-SGD','CS0507-SGD','CI1261-SGD','CS0085-SGD','CC0128-SGD','CS0222-SGD','CS0226-SGD','CS0653-SGD','CI1277-SGD','CB0059-SGD''CS0678-SGD','CS0653-SGD','CS0276-SGD','CS0200-SGD'"</t>
  </si>
  <si>
    <t>="'CS0085-SGD','CS0086-SGD','CS0507-SGD','CS0507-SGD','CI1261-SGD','CS0085-SGD','CC0128-SGD','CS0222-SGD','CS0226-SGD','CS0653-SGD','CI1277-SGD'"</t>
  </si>
  <si>
    <t>Auto+Hide+HideSheet+Formulas=Sheet1,Sheet2+FormulasOnly</t>
  </si>
  <si>
    <t>=Option!$C$2</t>
  </si>
  <si>
    <t>=".AF_CV_XL_INVOICE where (CARDCODE IN (" &amp; $E$16 &amp; ")) AND (U_ENR IN ("&amp; $E$13 &amp;")  OR U_MSENR IN (" &amp; $E$14 &amp;")) AND U_PRODTYPE =" &amp; $E$15 &amp; " AND %Filter1% AND %Filter2%   "</t>
  </si>
  <si>
    <t>="SQL="&amp;$F$4&amp;$E$2&amp;$D$4&amp;$H$4</t>
  </si>
  <si>
    <t>=" ORDER BY DOCNUM, DOCDATE"</t>
  </si>
  <si>
    <t>=".AF_CV_XL_DELIVERY where (CARDCODE IN (" &amp; $E$16 &amp; ")) AND U_ENR IN ("&amp; $E$13 &amp;")  AND U_PRODTYPE =" &amp; $E$15 &amp; " AND %Filter1% AND %Filter2%   "</t>
  </si>
  <si>
    <t>="SQL="&amp;$F$5&amp;$E$2&amp;$D$5 &amp;$G$5 &amp;$F$5&amp;$E$2&amp;$I$5&amp;H5</t>
  </si>
  <si>
    <t>=".AF_CV_XL_RETURN where (CARDCODE IN (" &amp; $E$16 &amp; ")) AND U_ENR IN ("&amp; $E$13 &amp;")  AND U_PRODTYPE =" &amp; $E$15 &amp; " AND %Filter1% AND %Filter2%   "</t>
  </si>
  <si>
    <t>=".AF_CV_XL_DELIVERY where (CARDCODE IN (" &amp; $E$16 &amp; ")) AND U_MSENR IN (" &amp; $E$14 &amp;") AND U_PRODTYPE =" &amp; $E$15 &amp; " AND %Filter1% AND %Filter2%   "</t>
  </si>
  <si>
    <t>="SQL="&amp;$F$6&amp;$E$2&amp;$D$6 &amp;$G$6 &amp;$F$6&amp;$E$2&amp;$I$6&amp;H6</t>
  </si>
  <si>
    <t>=".AF_CV_XL_RETURN where (CARDCODE IN (" &amp; $E$16 &amp; ")) AND U_MSENR IN (" &amp; $E$14 &amp;") AND U_PRODTYPE =" &amp; $E$15 &amp; " AND %Filter1% AND %Filter2%   "</t>
  </si>
  <si>
    <t>=Option!$C$9</t>
  </si>
  <si>
    <t>=Option!$C$5</t>
  </si>
  <si>
    <t>=Option!$C$10</t>
  </si>
  <si>
    <t>=Option!$C$11</t>
  </si>
  <si>
    <t>=Option!$C$12</t>
  </si>
  <si>
    <t>=Option!$C$13</t>
  </si>
  <si>
    <t>=IF(K24="","Hide","Show")</t>
  </si>
  <si>
    <t>=NL("Rows",$E$4,{"DOCNUM","CUSTREF","U_CUSTREF","DOCDATE","TAXDATE","CARDCODE","CARDNAME","ITEMCODE","ITEMNAME","ITEMNAME","QUANTITY","U_PONO","U_PODATE","U_TLINTCOS","SLPCODE","SLPNAME","MEMO","CONTACTNAME","LINETOTAL","U_ENR","U_MSENR","U_MSPCN","ADDRESS2"},"1S=DOCDATE",$E$11,"2S=SLPCODE",$E$12)</t>
  </si>
  <si>
    <t>=MONTH(N24)</t>
  </si>
  <si>
    <t>=YEAR(N24)</t>
  </si>
  <si>
    <t>=IFERROR(NF($E24,"DOCNUM"),"-")</t>
  </si>
  <si>
    <t>=IFERROR(NF($E24,"DOCDATE"),"-")</t>
  </si>
  <si>
    <t>=IFERROR(NF($E24,"U_MSENR"),"-")</t>
  </si>
  <si>
    <t>=IFERROR(NF($E24,"U_MSPCN"),"-")</t>
  </si>
  <si>
    <t>=IFERROR(NF($E24,"CARDCODE"),"-")</t>
  </si>
  <si>
    <t>=IFERROR(NF($E24,"CARDNAME"),"-")</t>
  </si>
  <si>
    <t>=IFERROR(NF($E24,"U_CUSTREF"),"-")</t>
  </si>
  <si>
    <t>=IFERROR(NF($E24,"U_PODate"),"-")</t>
  </si>
  <si>
    <t>=IFERROR(NF($E24,"DOCdate"),"-")</t>
  </si>
  <si>
    <t>=IFERROR(NF($E24,"ITEMCODE"),"-")</t>
  </si>
  <si>
    <t>=IFERROR(NF($E24,"ITEMNAME"),"-")</t>
  </si>
  <si>
    <t>=IFERROR(NF($E24,"MEMO"),"-")</t>
  </si>
  <si>
    <t>=IFERROR(NF($E24,"QUANTITY"),"-")</t>
  </si>
  <si>
    <t>=IFERROR(NF($E24,"LINETOTAL"),"-")</t>
  </si>
  <si>
    <t>=IFERROR(NF($E24,"U_BPurDisc"),"-")</t>
  </si>
  <si>
    <t>=IFERROR(NF($E24,"ADDRESS2"),"-")</t>
  </si>
  <si>
    <t>=IFERROR(NF($E24,"ItemCode"),"-")</t>
  </si>
  <si>
    <t>=IFERROR(NF($E24,"ItemName"),"-")</t>
  </si>
  <si>
    <t>=IFERROR(NF($E24,"U_SWSub"),"-")</t>
  </si>
  <si>
    <t>=IFERROR(NF($E24,"U_LicComDt"),"-")</t>
  </si>
  <si>
    <t>=IFERROR(NF($E24,"U_LicEndDt"),"-")</t>
  </si>
  <si>
    <t>=IFERROR(NF($E24,"Comments"),"-")</t>
  </si>
  <si>
    <t>=IF(K25="","Hide","Show")</t>
  </si>
  <si>
    <t>=NL("Rows",$E$5,{"DOCNUM","CUSTREF","U_CUSTREF","DOCDATE","TAXDATE","CARDCODE","CARDNAME","ITEMCODE","ITEMNAME","ITEMNAME","QUANTITY","U_TLINTCOS","SLPCODE","SLPNAME","MEMO","CONTACTNAME","LINETOTAL","U_ENR","U_MSENR","U_MSPCN","ADDRESS2"},"1S=DOCDATE",$E$11,"2S=SLPCODE",$E$12)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</si>
  <si>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=IFERROR(NF($E25,"DOCNUM"),"-")</t>
  </si>
  <si>
    <t>=IFERROR(NF($E25,"DOCDATE"),"-")</t>
  </si>
  <si>
    <t>=IFERROR(NF($E25,"U_MSENR"),"-")</t>
  </si>
  <si>
    <t>=IFERROR(NF($E25,"CARDCODE"),"-")</t>
  </si>
  <si>
    <t>=IFERROR(NF($E25,"CARDNAME"),"-")</t>
  </si>
  <si>
    <t>=IFERROR(NF($E25,"ITEMCODE"),"-")</t>
  </si>
  <si>
    <t>=IFERROR(NF($E25,"U_CUSTREF"),"-")</t>
  </si>
  <si>
    <t>=IFERROR(NF($E25,"ITEMNAME"),"-")</t>
  </si>
  <si>
    <t>=IFERROR(NF($E25,"MEMO"),"-")</t>
  </si>
  <si>
    <t>=IFERROR(NF($E25,"QUANTITY"),"-")</t>
  </si>
  <si>
    <t>=IFERROR(NF($E25,"CONTACTNAME"),"-")</t>
  </si>
  <si>
    <t>=IFERROR(NF($E25,"ADDRESS2"),"-")</t>
  </si>
  <si>
    <t>=IFERROR(NF($E25,"U_PODATE"),"-")</t>
  </si>
  <si>
    <t>=IFERROR(NF($E25,"U_PONO"),"-")</t>
  </si>
  <si>
    <t>=IFERROR(NF($E25,"LINETOTAL"),"-")</t>
  </si>
  <si>
    <t>=IF(K26="","Hide","Show")</t>
  </si>
  <si>
    <t>=NL("Rows",$E$6,{"DOCNUM","CUSTREF","U_CUSTREF","DOCDATE","TAXDATE","CARDCODE","CARDNAME","ITEMCODE","ITEMNAME","ITEMNAME","QUANTITY","U_TLINTCOS","SLPCODE","SLPNAME","MEMO","CONTACTNAME","LINETOTAL","U_ENR","U_MSENR","U_MSPCN","ADDRESS2"},"1S=DOCDATE",$E$11,"2S=SLPCODE",$E$12)</t>
  </si>
  <si>
    <t>=IFERROR(NF($E26,"DOCNUM"),"-")</t>
  </si>
  <si>
    <t>=IFERROR(NF($E26,"DOCDATE"),"-")</t>
  </si>
  <si>
    <t>=IFERROR(NF($E26,"U_MSENR"),"-")</t>
  </si>
  <si>
    <t>=IFERROR(NF($E26,"CARDCODE"),"-")</t>
  </si>
  <si>
    <t>=IFERROR(NF($E26,"CARDNAME"),"-")</t>
  </si>
  <si>
    <t>=IFERROR(NF($E26,"ITEMCODE"),"-")</t>
  </si>
  <si>
    <t>=IFERROR(NF($E26,"U_CUSTREF"),"-")</t>
  </si>
  <si>
    <t>=IFERROR(NF($E26,"ITEMNAME"),"-")</t>
  </si>
  <si>
    <t>=IFERROR(NF($E26,"MEMO"),"-")</t>
  </si>
  <si>
    <t>=IFERROR(NF($E26,"QUANTITY"),"-")</t>
  </si>
  <si>
    <t>=IFERROR(NF($E26,"CONTACTNAME"),"-")</t>
  </si>
  <si>
    <t>=IFERROR(NF($E26,"ADDRESS2"),"-")</t>
  </si>
  <si>
    <t>=IFERROR(NF($E26,"U_PODATE"),"-")</t>
  </si>
  <si>
    <t>=IFERROR(NF($E26,"U_PONO"),"-")</t>
  </si>
  <si>
    <t>=IFERROR(NF($E26,"LINETOTAL"),"-")</t>
  </si>
  <si>
    <t>=SUBTOTAL(9,AB24:AB27)</t>
  </si>
  <si>
    <t>Auto+Hide+Values+Formulas=Sheet3,Sheet4+FormulasOnly</t>
  </si>
  <si>
    <t>Auto</t>
  </si>
  <si>
    <t>Auto+Hide+HideSheet+Formulas=Sheet5,Sheet1,Sheet2</t>
  </si>
  <si>
    <t>Auto+Hide+HideSheet+Formulas=Sheet5,Sheet1,Sheet2+FormulasOnly</t>
  </si>
  <si>
    <t>Auto+Hide+Values+Formulas=Sheet6,Sheet3,Sheet4</t>
  </si>
  <si>
    <t>=MONTH(N25)</t>
  </si>
  <si>
    <t>=YEAR(N25)</t>
  </si>
  <si>
    <t>=IFERROR(NF($E25,"U_MSPCN"),"-")</t>
  </si>
  <si>
    <t>=IFERROR(NF($E25,"U_PODate"),"-")</t>
  </si>
  <si>
    <t>=IFERROR(NF($E25,"DOCdate"),"-")</t>
  </si>
  <si>
    <t>=IFERROR(NF($E25,"U_BPurDisc"),"-")</t>
  </si>
  <si>
    <t>=IFERROR(NF($E25,"ItemCode"),"-")</t>
  </si>
  <si>
    <t>=IFERROR(NF($E25,"ItemName"),"-")</t>
  </si>
  <si>
    <t>=IFERROR(NF($E25,"U_SWSub"),"-")</t>
  </si>
  <si>
    <t>=IFERROR(NF($E25,"U_LicComDt"),"-")</t>
  </si>
  <si>
    <t>=IFERROR(NF($E25,"U_LicEndDt"),"-")</t>
  </si>
  <si>
    <t>=IFERROR(NF($E25,"Comments"),"-")</t>
  </si>
  <si>
    <t>=MONTH(N26)</t>
  </si>
  <si>
    <t>=YEAR(N26)</t>
  </si>
  <si>
    <t>=IFERROR(NF($E26,"U_MSPCN"),"-")</t>
  </si>
  <si>
    <t>=IFERROR(NF($E26,"U_PODate"),"-")</t>
  </si>
  <si>
    <t>=IFERROR(NF($E26,"DOCdate"),"-")</t>
  </si>
  <si>
    <t>=IFERROR(NF($E26,"U_BPurDisc"),"-")</t>
  </si>
  <si>
    <t>=IFERROR(NF($E26,"ItemCode"),"-")</t>
  </si>
  <si>
    <t>=IFERROR(NF($E26,"ItemName"),"-")</t>
  </si>
  <si>
    <t>=IFERROR(NF($E26,"U_SWSub"),"-")</t>
  </si>
  <si>
    <t>=IFERROR(NF($E26,"U_LicComDt"),"-")</t>
  </si>
  <si>
    <t>=IFERROR(NF($E26,"U_LicEndDt"),"-")</t>
  </si>
  <si>
    <t>=IFERROR(NF($E26,"Comments"),"-")</t>
  </si>
  <si>
    <t>=IF(K27="","Hide","Show")</t>
  </si>
  <si>
    <t>=IFERROR(NF($E27,"DOCNUM"),"-")</t>
  </si>
  <si>
    <t>=IFERROR(NF($E27,"DOCDATE"),"-")</t>
  </si>
  <si>
    <t>=IFERROR(NF($E27,"U_MSENR"),"-")</t>
  </si>
  <si>
    <t>=IFERROR(NF($E27,"CARDCODE"),"-")</t>
  </si>
  <si>
    <t>=IFERROR(NF($E27,"CARDNAME"),"-")</t>
  </si>
  <si>
    <t>=IFERROR(NF($E27,"ITEMCODE"),"-")</t>
  </si>
  <si>
    <t>=IFERROR(NF($E27,"U_CUSTREF"),"-")</t>
  </si>
  <si>
    <t>=IFERROR(NF($E27,"ITEMNAME"),"-")</t>
  </si>
  <si>
    <t>=IFERROR(NF($E27,"MEMO"),"-")</t>
  </si>
  <si>
    <t>=IFERROR(NF($E27,"QUANTITY"),"-")</t>
  </si>
  <si>
    <t>=IFERROR(NF($E27,"ADDRESS2"),"-")</t>
  </si>
  <si>
    <t>=IFERROR(NF($E27,"U_PONO"),"-")</t>
  </si>
  <si>
    <t>=IFERROR(NF($E27,"LINETOTAL"),"-")</t>
  </si>
  <si>
    <t>=IF(K28="","Hide","Show")</t>
  </si>
  <si>
    <t>=IFERROR(NF($E28,"DOCNUM"),"-")</t>
  </si>
  <si>
    <t>=IFERROR(NF($E28,"DOCDATE"),"-")</t>
  </si>
  <si>
    <t>=IFERROR(NF($E28,"U_MSENR"),"-")</t>
  </si>
  <si>
    <t>=IFERROR(NF($E28,"CARDCODE"),"-")</t>
  </si>
  <si>
    <t>=IFERROR(NF($E28,"CARDNAME"),"-")</t>
  </si>
  <si>
    <t>=IFERROR(NF($E28,"ITEMCODE"),"-")</t>
  </si>
  <si>
    <t>=IFERROR(NF($E28,"U_CUSTREF"),"-")</t>
  </si>
  <si>
    <t>=IFERROR(NF($E28,"ITEMNAME"),"-")</t>
  </si>
  <si>
    <t>=IFERROR(NF($E28,"MEMO"),"-")</t>
  </si>
  <si>
    <t>=IFERROR(NF($E28,"QUANTITY"),"-")</t>
  </si>
  <si>
    <t>=IFERROR(NF($E28,"ADDRESS2"),"-")</t>
  </si>
  <si>
    <t>=IFERROR(NF($E28,"U_PONO"),"-")</t>
  </si>
  <si>
    <t>=IFERROR(NF($E28,"LINETOTAL"),"-")</t>
  </si>
  <si>
    <t>Auto+Hide+Values+Formulas=Sheet6,Sheet3,Sheet4+FormulasOnly</t>
  </si>
  <si>
    <t>PO NO</t>
  </si>
  <si>
    <t>=IFERROR(NF($E24,"U_PONO"),"-")</t>
  </si>
  <si>
    <t>=SUM(N24-V24)</t>
  </si>
  <si>
    <t>=IFERROR(AD24/AB24,0)</t>
  </si>
  <si>
    <t>=IFERROR(AC25/W25,0)</t>
  </si>
  <si>
    <t>=IFERROR(AC26/W26,0)</t>
  </si>
  <si>
    <t>=SUBTOTAL(9,AC24:AC27)</t>
  </si>
  <si>
    <t>=SUM(N25-V25)</t>
  </si>
  <si>
    <t>=IFERROR(AD25/AB25,0)</t>
  </si>
  <si>
    <t>=SUM(N26-V26)</t>
  </si>
  <si>
    <t>=IFERROR(AD26/AB26,0)</t>
  </si>
  <si>
    <t>="01/02/2026"</t>
  </si>
  <si>
    <t>="28/02/2026"</t>
  </si>
  <si>
    <t>="""UICACS"","""",""SQL="",""2=DOCNUM"",""33041686"",""14=CUSTREF"",""6726000145"",""14=U_CUSTREF"",""6726000145"",""15=DOCDATE"",""16/2/2026"",""15=TAXDATE"",""16/2/2026"",""14=CARDCODE"",""CI1256-SGD"",""14=CARDNAME"",""SINGAPORE HEALTH SERVICES PTE LTD"",""14=ITEMCODE"",""MS7NQ-00300GLP"",""1"&amp;"4=ITEMNAME"",""MS SQL SERVER STANDARD CORE SLNG LSA 2L"",""10=QUANTITY"",""6.000000"",""14=U_PONO"",""962538"",""15=U_PODATE"",""13/2/2026"",""10=U_TLINTCOS"",""0.000000"",""2=SLPCODE"",""127"",""14=SLPNAME"",""E0001-GH"",""14=MEMO"",""MANZY TOH GUAN HUI"",""14=CONTACTNAME"",""FINANCE DEP"&amp;"ARTMENT"",""10=LINETOTAL"",""34399.980000"",""14=U_ENR"","""",""14=U_MSENR"",""S7138270"",""14=U_MSPCN"",""8E125DFC"",""14=ADDRESS2"",""ANIZAH_x000D_SINGAPORE HEALTH SERVICES PTE LTD 168 JALAN BUKIT MERAH, #16-01, SURBANA ONE, SINGAPROE 150168_x000D_ANIZAH_x000D_TEL: 97665661_x000D_FAX: _x000D_EMAIL: ani"&amp;"zah.amin@synapxe.sg"""</t>
  </si>
  <si>
    <t>="""UICACS"","""",""SQL="",""2=DOCNUM"",""33041716"",""14=CUSTREF"",""9410287736"",""14=U_CUSTREF"",""9410287736"",""15=DOCDATE"",""23/2/2026"",""15=TAXDATE"",""23/2/2026"",""14=CARDCODE"",""CI1077-SGD"",""14=CARDNAME"",""KK WOMEN'S AND CHILDREN'S HOSPITAL"",""14=ITEMCODE"",""MS7NQ-00300GLP"","""&amp;"14=ITEMNAME"",""MS SQL SERVER STANDARD CORE SLNG LSA 2L"",""10=QUANTITY"",""6.000000"",""14=U_PONO"",""962571"",""15=U_PODATE"",""16/2/2026"",""10=U_TLINTCOS"",""0.000000"",""2=SLPCODE"",""127"",""14=SLPNAME"",""E0001-GH"",""14=MEMO"",""MANZY TOH GUAN HUI"",""14=CONTACTNAME"",""FINANCE DE"&amp;"PARTMENT"",""10=LINETOTAL"",""35689.980000"",""14=U_ENR"","""",""14=U_MSENR"",""S7138270"",""14=U_MSPCN"",""B1EFBA40"",""14=ADDRESS2"",""ANIZAH_x000D_KK WOMEN'S AND CHILDREN'S HOSPITAL 100 BUKIT TIMAH ROAD,  SINGAPORE 229899_x000D_ANIZAH_x000D_TEL: 65941737_x000D_FAX: _x000D_EMAIL: anizah.amin@ihis.com.s"&amp;"g"""</t>
  </si>
  <si>
    <t>=IFERROR(NF($E27,"CONTACTNAME"),"-")</t>
  </si>
  <si>
    <t>=IFERROR(NF($E27,"U_PODATE"),"-")</t>
  </si>
  <si>
    <t>=IFERROR(AC27/W27,0)</t>
  </si>
  <si>
    <t>=IFERROR(NF($E28,"CONTACTNAME"),"-")</t>
  </si>
  <si>
    <t>=IFERROR(NF($E28,"U_PODATE"),"-")</t>
  </si>
  <si>
    <t>=IFERROR(AC28/W28,0)</t>
  </si>
  <si>
    <t>=SUBTOTAL(9,AB24:AB29)</t>
  </si>
  <si>
    <t>=SUBTOTAL(9,AC24:AC29)</t>
  </si>
  <si>
    <t>B29CE2A2</t>
  </si>
  <si>
    <t>CS0788-SGD</t>
  </si>
  <si>
    <t>UIC PO NO</t>
  </si>
  <si>
    <t>WENDY KUM</t>
  </si>
  <si>
    <t>MSEP2-27380GLP</t>
  </si>
  <si>
    <t>MS OFFICE STANDARD 2024 SLNG LTSC</t>
  </si>
  <si>
    <t>PERPETUAL LIC</t>
  </si>
  <si>
    <t>01.02.2026</t>
  </si>
  <si>
    <t>31.10.2028</t>
  </si>
  <si>
    <t>LICENSE WITH SA</t>
  </si>
  <si>
    <t>01.03.2026</t>
  </si>
  <si>
    <t>31.12.2028</t>
  </si>
  <si>
    <t>NIL</t>
  </si>
  <si>
    <t xml:space="preserve">DUE TO CNY BREAK </t>
  </si>
  <si>
    <t>ST. ANDREW'S COMMUNITY HOSPITAL (BEDOK) 208 BEDOK SOUTH AVE 1  SINGAPORE 469726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</si>
</sst>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4809]dd/mm/yyyy;@"/>
    <numFmt numFmtId="167" formatCode="dd\-mm\-yyyy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 "/>
    </font>
    <font>
      <b/>
      <sz val="11"/>
      <color theme="1"/>
      <name val="Calibri"/>
      <family val="2"/>
      <scheme val="minor"/>
    </font>
    <font>
      <b/>
      <sz val="12"/>
      <name val="Aharoni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2"/>
      <color rgb="FFFFFFFF"/>
      <name val="Baskerville Old Face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0" fontId="0" fillId="0" borderId="0" xfId="0" quotePrefix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 wrapText="1"/>
    </xf>
    <xf numFmtId="0" fontId="2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0" fillId="5" borderId="0" xfId="0" applyFill="1" applyAlignment="1">
      <alignment vertical="top"/>
    </xf>
    <xf numFmtId="0" fontId="0" fillId="2" borderId="0" xfId="0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0" borderId="0" xfId="0" applyNumberFormat="1" applyAlignment="1">
      <alignment vertical="top"/>
    </xf>
    <xf numFmtId="167" fontId="0" fillId="2" borderId="0" xfId="0" applyNumberFormat="1" applyFill="1" applyAlignment="1">
      <alignment vertical="top"/>
    </xf>
    <xf numFmtId="167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4" fillId="0" borderId="0" xfId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2" borderId="0" xfId="0" applyFill="1" applyAlignment="1">
      <alignment horizontal="center" vertical="top"/>
    </xf>
    <xf numFmtId="0" fontId="4" fillId="0" borderId="0" xfId="1" applyFont="1" applyAlignment="1">
      <alignment horizontal="left" vertical="top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0" fillId="6" borderId="0" xfId="0" applyFill="1" applyAlignment="1">
      <alignment horizontal="center" vertical="top"/>
    </xf>
    <xf numFmtId="167" fontId="0" fillId="6" borderId="0" xfId="0" applyNumberFormat="1" applyFill="1" applyAlignment="1">
      <alignment vertical="top"/>
    </xf>
    <xf numFmtId="0" fontId="0" fillId="6" borderId="0" xfId="0" applyFill="1" applyAlignment="1">
      <alignment horizontal="left" vertical="top"/>
    </xf>
    <xf numFmtId="1" fontId="0" fillId="6" borderId="0" xfId="0" applyNumberFormat="1" applyFill="1" applyAlignment="1">
      <alignment vertical="top"/>
    </xf>
    <xf numFmtId="165" fontId="0" fillId="0" borderId="0" xfId="2" applyNumberFormat="1" applyFont="1" applyAlignment="1">
      <alignment vertical="top"/>
    </xf>
    <xf numFmtId="165" fontId="0" fillId="6" borderId="0" xfId="2" applyNumberFormat="1" applyFont="1" applyFill="1" applyAlignment="1">
      <alignment vertical="top"/>
    </xf>
    <xf numFmtId="166" fontId="0" fillId="0" borderId="0" xfId="0" applyNumberFormat="1" applyAlignment="1">
      <alignment horizontal="center" vertical="top"/>
    </xf>
    <xf numFmtId="0" fontId="6" fillId="7" borderId="0" xfId="0" applyFont="1" applyFill="1" applyAlignment="1">
      <alignment vertical="top"/>
    </xf>
    <xf numFmtId="0" fontId="7" fillId="3" borderId="0" xfId="0" applyFont="1" applyFill="1" applyAlignment="1">
      <alignment horizontal="center" vertical="center"/>
    </xf>
    <xf numFmtId="167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4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40" fontId="7" fillId="3" borderId="0" xfId="0" applyNumberFormat="1" applyFont="1" applyFill="1" applyAlignment="1">
      <alignment horizontal="center" vertical="center"/>
    </xf>
    <xf numFmtId="165" fontId="7" fillId="3" borderId="0" xfId="2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top"/>
    </xf>
    <xf numFmtId="1" fontId="0" fillId="0" borderId="0" xfId="0" applyNumberFormat="1" applyAlignment="1">
      <alignment horizontal="center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40" fontId="0" fillId="0" borderId="0" xfId="2" applyNumberFormat="1" applyFont="1" applyAlignment="1">
      <alignment horizontal="center" vertical="top"/>
    </xf>
    <xf numFmtId="0" fontId="10" fillId="0" borderId="0" xfId="0" applyFont="1"/>
    <xf numFmtId="0" fontId="0" fillId="0" borderId="0" xfId="0" quotePrefix="1"/>
    <xf numFmtId="0" fontId="11" fillId="0" borderId="0" xfId="0" applyFont="1"/>
    <xf numFmtId="38" fontId="0" fillId="0" borderId="0" xfId="2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opLeftCell="B2" zoomScale="106" zoomScaleNormal="106" workbookViewId="0">
      <selection activeCell="D14" sqref="D14"/>
    </sheetView>
  </sheetViews>
  <sheetFormatPr defaultColWidth="9.21875" defaultRowHeight="14.4"/>
  <cols>
    <col min="1" max="1" width="21" style="1" hidden="1" customWidth="1"/>
    <col min="2" max="2" width="12.21875" style="4" bestFit="1" customWidth="1"/>
    <col min="3" max="3" width="31.77734375" style="4" customWidth="1"/>
    <col min="4" max="4" width="10.21875" style="4" bestFit="1" customWidth="1"/>
    <col min="5" max="16384" width="9.21875" style="4"/>
  </cols>
  <sheetData>
    <row r="1" spans="1:5" s="1" customFormat="1" hidden="1">
      <c r="A1" s="1" t="s">
        <v>167</v>
      </c>
      <c r="B1" s="1" t="s">
        <v>1</v>
      </c>
      <c r="C1" s="2" t="s">
        <v>2</v>
      </c>
      <c r="D1" s="1" t="s">
        <v>3</v>
      </c>
    </row>
    <row r="2" spans="1:5">
      <c r="B2" s="4" t="s">
        <v>18</v>
      </c>
      <c r="C2" s="4" t="s">
        <v>4</v>
      </c>
    </row>
    <row r="3" spans="1:5">
      <c r="A3" s="1" t="s">
        <v>0</v>
      </c>
      <c r="B3" s="4" t="s">
        <v>5</v>
      </c>
      <c r="C3" s="5" t="str">
        <f>"01/02/2026"</f>
        <v>01/02/2026</v>
      </c>
    </row>
    <row r="4" spans="1:5">
      <c r="A4" s="1" t="s">
        <v>0</v>
      </c>
      <c r="B4" s="4" t="s">
        <v>6</v>
      </c>
      <c r="C4" s="5" t="str">
        <f>"28/02/2026"</f>
        <v>28/02/2026</v>
      </c>
    </row>
    <row r="5" spans="1:5">
      <c r="A5" s="1" t="s">
        <v>0</v>
      </c>
      <c r="B5" s="4" t="s">
        <v>25</v>
      </c>
      <c r="C5" s="4" t="str">
        <f>"*"</f>
        <v>*</v>
      </c>
      <c r="D5" s="4" t="str">
        <f>"Lookup"</f>
        <v>Lookup</v>
      </c>
      <c r="E5" s="4" t="s">
        <v>51</v>
      </c>
    </row>
    <row r="8" spans="1:5">
      <c r="A8" s="1" t="s">
        <v>8</v>
      </c>
      <c r="C8" s="3" t="str">
        <f>TEXT($C$3,"dd/MMM/yyyy") &amp; ".." &amp; TEXT($C$4,"dd/MMM/yyyy")</f>
        <v>01/Feb/2026..28/Feb/2026</v>
      </c>
    </row>
    <row r="9" spans="1:5">
      <c r="A9" s="1" t="s">
        <v>9</v>
      </c>
      <c r="C9" s="3" t="str">
        <f>TEXT($C$3,"yyyyMMdd") &amp; ".." &amp; TEXT($C$4,"yyyyMMdd")</f>
        <v>20260201..20260228</v>
      </c>
    </row>
    <row r="10" spans="1:5">
      <c r="B10" s="4" t="s">
        <v>37</v>
      </c>
      <c r="C10" s="6" t="str">
        <f>"'S7138270','7138270' "</f>
        <v xml:space="preserve">'S7138270','7138270' </v>
      </c>
    </row>
    <row r="11" spans="1:5">
      <c r="B11" s="4" t="s">
        <v>35</v>
      </c>
      <c r="C11" s="6" t="str">
        <f>"'S7138270','7138270' "</f>
        <v xml:space="preserve">'S7138270','7138270' </v>
      </c>
    </row>
    <row r="12" spans="1:5">
      <c r="B12" s="4" t="s">
        <v>38</v>
      </c>
      <c r="C12" s="6" t="str">
        <f>"'MS'"</f>
        <v>'MS'</v>
      </c>
    </row>
    <row r="13" spans="1:5">
      <c r="B13" s="4" t="s">
        <v>39</v>
      </c>
      <c r="C13" s="4" t="str">
        <f>$D$13&amp;$D$14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  <c r="D13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14" spans="1:5">
      <c r="D14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  <row r="15" spans="1:5">
      <c r="D15" s="4" t="s">
        <v>52</v>
      </c>
    </row>
    <row r="28" spans="3:6">
      <c r="C28" s="31" t="s">
        <v>53</v>
      </c>
      <c r="D28" s="31" t="s">
        <v>52</v>
      </c>
    </row>
    <row r="29" spans="3:6">
      <c r="D29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30" spans="3:6">
      <c r="D30" s="4" t="str">
        <f>"'CS0085-SGD','CS0086-SGD','CS0507-SGD','CS0507-SGD','CI1261-SGD','CS0085-SGD','CC0128-SGD','CS0222-SGD','CS0226-SGD','CS0653-SGD','CI1277-SGD'"</f>
        <v>'CS0085-SGD','CS0086-SGD','CS0507-SGD','CS0507-SGD','CI1261-SGD','CS0085-SGD','CC0128-SGD','CS0222-SGD','CS0226-SGD','CS0653-SGD','CI1277-SGD'</v>
      </c>
    </row>
    <row r="32" spans="3:6">
      <c r="F32" s="14"/>
    </row>
    <row r="33" spans="7:7">
      <c r="G33" s="14"/>
    </row>
  </sheetData>
  <pageMargins left="0.7" right="0.7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5"/>
  <sheetViews>
    <sheetView tabSelected="1" topLeftCell="U19" zoomScale="92" zoomScaleNormal="92" workbookViewId="0">
      <selection activeCell="Z32" sqref="Z32"/>
    </sheetView>
  </sheetViews>
  <sheetFormatPr defaultColWidth="9.21875" defaultRowHeight="14.4"/>
  <cols>
    <col min="1" max="1" width="2.5546875" style="1" customWidth="1"/>
    <col min="2" max="2" width="6.88671875" style="1" hidden="1" customWidth="1"/>
    <col min="3" max="3" width="15.33203125" style="4" hidden="1" customWidth="1"/>
    <col min="4" max="4" width="81.77734375" style="4" hidden="1" customWidth="1"/>
    <col min="5" max="5" width="0.5546875" style="4" customWidth="1"/>
    <col min="6" max="6" width="2.109375" style="4" hidden="1" customWidth="1"/>
    <col min="7" max="7" width="10.77734375" style="4" hidden="1" customWidth="1"/>
    <col min="8" max="8" width="8.5546875" style="4" hidden="1" customWidth="1"/>
    <col min="9" max="9" width="75.44140625" style="8" hidden="1" customWidth="1"/>
    <col min="10" max="10" width="4.6640625" style="4" hidden="1" customWidth="1"/>
    <col min="11" max="11" width="7.44140625" style="4" bestFit="1" customWidth="1"/>
    <col min="12" max="12" width="5.6640625" style="19" bestFit="1" customWidth="1"/>
    <col min="13" max="13" width="9.88671875" style="16" bestFit="1" customWidth="1"/>
    <col min="14" max="14" width="11.44140625" style="4" bestFit="1" customWidth="1"/>
    <col min="15" max="15" width="15.44140625" style="4" bestFit="1" customWidth="1"/>
    <col min="16" max="16" width="10" style="4" bestFit="1" customWidth="1"/>
    <col min="17" max="17" width="8" style="3" bestFit="1" customWidth="1"/>
    <col min="18" max="18" width="11.5546875" style="4" bestFit="1" customWidth="1"/>
    <col min="19" max="19" width="43.77734375" style="4" bestFit="1" customWidth="1"/>
    <col min="20" max="20" width="13.33203125" style="4" bestFit="1" customWidth="1"/>
    <col min="21" max="21" width="13.77734375" style="4" bestFit="1" customWidth="1"/>
    <col min="22" max="22" width="10.33203125" style="4" bestFit="1" customWidth="1"/>
    <col min="23" max="23" width="10.33203125" style="17" bestFit="1" customWidth="1"/>
    <col min="24" max="24" width="8.5546875" style="4" bestFit="1" customWidth="1"/>
    <col min="25" max="25" width="17.77734375" style="4" bestFit="1" customWidth="1"/>
    <col min="26" max="26" width="41.21875" style="4" bestFit="1" customWidth="1"/>
    <col min="27" max="27" width="21.77734375" style="4" bestFit="1" customWidth="1"/>
    <col min="28" max="28" width="9.6640625" style="28" bestFit="1" customWidth="1"/>
    <col min="29" max="29" width="9" style="4" bestFit="1" customWidth="1"/>
    <col min="30" max="30" width="142.6640625" style="4" bestFit="1" customWidth="1"/>
    <col min="31" max="31" width="8.5546875" style="4" bestFit="1" customWidth="1"/>
    <col min="32" max="32" width="9.44140625" style="4" bestFit="1" customWidth="1"/>
    <col min="33" max="33" width="17" style="4" bestFit="1" customWidth="1"/>
    <col min="34" max="34" width="40.44140625" style="4" bestFit="1" customWidth="1"/>
    <col min="35" max="35" width="15.5546875" style="4" bestFit="1" customWidth="1"/>
    <col min="36" max="36" width="10.88671875" style="4" bestFit="1" customWidth="1"/>
    <col min="37" max="37" width="13.109375" style="4" bestFit="1" customWidth="1"/>
    <col min="38" max="38" width="17.77734375" style="4" bestFit="1" customWidth="1"/>
    <col min="39" max="16384" width="9.21875" style="4"/>
  </cols>
  <sheetData>
    <row r="1" spans="1:31" s="1" customFormat="1" hidden="1">
      <c r="A1" s="1" t="s">
        <v>169</v>
      </c>
      <c r="B1" s="1" t="s">
        <v>41</v>
      </c>
      <c r="C1" s="1" t="s">
        <v>7</v>
      </c>
      <c r="D1" s="1" t="s">
        <v>7</v>
      </c>
      <c r="E1" s="1" t="s">
        <v>7</v>
      </c>
      <c r="F1" s="1" t="s">
        <v>7</v>
      </c>
      <c r="G1" s="1" t="s">
        <v>7</v>
      </c>
      <c r="H1" s="1" t="s">
        <v>7</v>
      </c>
      <c r="I1" s="12" t="s">
        <v>7</v>
      </c>
      <c r="J1" s="1" t="s">
        <v>48</v>
      </c>
      <c r="K1" s="1" t="s">
        <v>17</v>
      </c>
      <c r="L1" s="20" t="s">
        <v>17</v>
      </c>
      <c r="M1" s="15" t="s">
        <v>17</v>
      </c>
      <c r="N1" s="1" t="s">
        <v>17</v>
      </c>
      <c r="O1" s="1" t="s">
        <v>17</v>
      </c>
      <c r="P1" s="1" t="s">
        <v>17</v>
      </c>
      <c r="Q1" s="2" t="s">
        <v>17</v>
      </c>
      <c r="R1" s="1" t="s">
        <v>17</v>
      </c>
      <c r="S1" s="1" t="s">
        <v>17</v>
      </c>
      <c r="T1" s="1" t="s">
        <v>17</v>
      </c>
      <c r="V1" s="1" t="s">
        <v>17</v>
      </c>
      <c r="W1" s="1" t="s">
        <v>17</v>
      </c>
      <c r="X1" s="1" t="s">
        <v>17</v>
      </c>
      <c r="Y1" s="1" t="s">
        <v>7</v>
      </c>
      <c r="Z1" s="1" t="s">
        <v>7</v>
      </c>
      <c r="AA1" s="1" t="s">
        <v>17</v>
      </c>
      <c r="AB1" s="1" t="s">
        <v>17</v>
      </c>
      <c r="AD1" s="1" t="s">
        <v>7</v>
      </c>
      <c r="AE1" s="1" t="s">
        <v>7</v>
      </c>
    </row>
    <row r="2" spans="1:31" hidden="1">
      <c r="A2" s="1" t="s">
        <v>7</v>
      </c>
      <c r="D2" s="4" t="s">
        <v>18</v>
      </c>
      <c r="E2" s="4" t="str">
        <f>Option!$C$2</f>
        <v>UICACS</v>
      </c>
    </row>
    <row r="3" spans="1:31" hidden="1">
      <c r="A3" s="1" t="s">
        <v>7</v>
      </c>
      <c r="D3" s="7" t="s">
        <v>21</v>
      </c>
      <c r="E3" s="7" t="s">
        <v>19</v>
      </c>
      <c r="F3" s="7" t="s">
        <v>20</v>
      </c>
      <c r="G3" s="7" t="s">
        <v>22</v>
      </c>
      <c r="H3" s="7" t="s">
        <v>42</v>
      </c>
      <c r="I3" s="13" t="s">
        <v>23</v>
      </c>
    </row>
    <row r="4" spans="1:31" ht="15" hidden="1" customHeight="1">
      <c r="A4" s="1" t="s">
        <v>7</v>
      </c>
      <c r="C4" s="4" t="s">
        <v>11</v>
      </c>
      <c r="D4" s="8" t="str">
        <f>".AF_CV_XL_INVOICE where (CARDCODE IN (" &amp; $E$16 &amp; ")) AND (U_ENR IN ("&amp; $E$13 &amp;")  OR U_MSENR IN (" &amp; $E$14 &amp;")) AND U_PRODTYPE =" &amp; $E$15 &amp; " AND %Filter1% AND %Filter2%   "</f>
        <v xml:space="preserve">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</v>
      </c>
      <c r="E4" s="8" t="str">
        <f>"SQL="&amp;$F$4&amp;$E$2&amp;$D$4&amp;$H$4</f>
        <v>SQL=SELECT DOCNUM, CUSTREF, U_CUSTREF, DOCDATE,TAXDATE, CARDCODE,CARDNAME,ITEMCODE,ITEMNAME,QUANTITY,U_TLINTCOS,SLPNAME,SLPCODE,MEMO,CONTACTNAME, LINETOTAL ,U_ENR, U_MSENR,U_MSPCN,U_SONO,U_PONO,U_PODATE, ADDRESS2 FROM   UICACS.AF_CV_XL_INVOICE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(U_ENR IN ('S7138270','7138270' )  OR U_MSENR IN ('S7138270','7138270' )) AND U_PRODTYPE ='MS' AND %Filter1% AND %Filter2%    ORDER BY DOCNUM, DOCDATE</v>
      </c>
      <c r="F4" s="8" t="s">
        <v>46</v>
      </c>
      <c r="G4" s="4" t="s">
        <v>24</v>
      </c>
      <c r="H4" s="4" t="str">
        <f>" ORDER BY DOCNUM, DOCDATE"</f>
        <v xml:space="preserve"> ORDER BY DOCNUM, DOCDATE</v>
      </c>
    </row>
    <row r="5" spans="1:31" ht="15" hidden="1" customHeight="1">
      <c r="A5" s="1" t="s">
        <v>7</v>
      </c>
      <c r="C5" s="4" t="s">
        <v>10</v>
      </c>
      <c r="D5" s="8" t="str">
        <f>".AF_CV_XL_DELIVERY where (CARDCODE IN (" &amp; $E$16 &amp; ")) AND U_ENR IN ("&amp; $E$13 &amp;") 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  <c r="E5" s="8" t="str">
        <f>"SQL="&amp;$F$5&amp;$E$2&amp;$D$5 &amp;$G$5 &amp;$F$5&amp;$E$2&amp;$I$5&amp;H5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 ORDER BY DOCNUM, DOCDATE</v>
      </c>
      <c r="F5" s="8" t="s">
        <v>47</v>
      </c>
      <c r="G5" s="4" t="s">
        <v>24</v>
      </c>
      <c r="H5" s="4" t="str">
        <f>" ORDER BY DOCNUM, DOCDATE"</f>
        <v xml:space="preserve"> ORDER BY DOCNUM, DOCDATE</v>
      </c>
      <c r="I5" s="8" t="str">
        <f>".AF_CV_XL_RETURN where (CARDCODE IN (" &amp; $E$16 &amp; ")) AND U_ENR IN ("&amp; $E$13 &amp;") 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U_ENR IN ('S7138270','7138270' )  AND U_PRODTYPE ='MS' AND %Filter1% AND %Filter2%   </v>
      </c>
    </row>
    <row r="6" spans="1:31" ht="15.75" hidden="1" customHeight="1">
      <c r="A6" s="1" t="s">
        <v>7</v>
      </c>
      <c r="C6" s="4" t="s">
        <v>36</v>
      </c>
      <c r="D6" s="8" t="str">
        <f>".AF_CV_XL_DELIVERY where (CARDCODE IN (" &amp; $E$16 &amp; ")) AND U_MSENR IN (" &amp; $E$14 &amp;") AND U_PRODTYPE =" &amp; $E$15 &amp; " AND %Filter1% AND %Filter2%   "</f>
        <v xml:space="preserve">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  <c r="E6" s="8" t="str">
        <f>"SQL="&amp;$F$6&amp;$E$2&amp;$D$6 &amp;$G$6 &amp;$F$6&amp;$E$2&amp;$I$6&amp;H6</f>
        <v>SQL=SELECT DOCNUM, CUSTREF, U_CUSTREF, DOCDATE,TAXDATE, CARDCODE,CARDNAME,ITEMCODE,ITEMNAME,QUANTITY,U_TLINTCOS,SLPNAME,SLPCODE,MEMO,CONTACTNAME, LINETOTAL ,U_ENR, U_MSENR,U_MSPCN,U_SONO,U_PONO,U_PODATE, ADDRESS2  FROM   UICACS.AF_CV_XL_DELIVERY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UNION ALL SELECT DOCNUM, CUSTREF, U_CUSTREF, DOCDATE,TAXDATE, CARDCODE,CARDNAME,ITEMCODE,ITEMNAME,QUANTITY,U_TLINTCOS,SLPNAME,SLPCODE,MEMO,CONTACTNAME, LINETOTAL ,U_ENR, U_MSENR,U_MSPCN,U_SONO,U_PONO,U_PODATE, ADDRESS2  FROM   UICACS.AF_CV_XL_RETURN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 ORDER BY DOCNUM, DOCDATE</v>
      </c>
      <c r="F6" s="8" t="s">
        <v>47</v>
      </c>
      <c r="G6" s="4" t="s">
        <v>24</v>
      </c>
      <c r="H6" s="4" t="str">
        <f>" ORDER BY DOCNUM, DOCDATE"</f>
        <v xml:space="preserve"> ORDER BY DOCNUM, DOCDATE</v>
      </c>
      <c r="I6" s="8" t="str">
        <f>".AF_CV_XL_RETURN where (CARDCODE IN (" &amp; $E$16 &amp; ")) AND U_MSENR IN (" &amp; $E$14 &amp;") AND U_PRODTYPE =" &amp; $E$15 &amp; " AND %Filter1% AND %Filter2%   "</f>
        <v xml:space="preserve">.AF_CV_XL_RETURN where (CARDCODE IN ('CI1077-SGD',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)) AND U_MSENR IN ('S7138270','7138270' ) AND U_PRODTYPE ='MS' AND %Filter1% AND %Filter2%   </v>
      </c>
    </row>
    <row r="7" spans="1:31" hidden="1">
      <c r="A7" s="1" t="s">
        <v>7</v>
      </c>
    </row>
    <row r="8" spans="1:31" hidden="1">
      <c r="A8" s="1" t="s">
        <v>7</v>
      </c>
      <c r="K8" s="9"/>
    </row>
    <row r="9" spans="1:31" hidden="1">
      <c r="A9" s="1" t="s">
        <v>7</v>
      </c>
      <c r="K9" s="9"/>
    </row>
    <row r="10" spans="1:31" hidden="1">
      <c r="A10" s="1" t="s">
        <v>7</v>
      </c>
    </row>
    <row r="11" spans="1:31" hidden="1">
      <c r="A11" s="1" t="s">
        <v>7</v>
      </c>
      <c r="C11" s="4" t="s">
        <v>26</v>
      </c>
      <c r="E11" s="4" t="str">
        <f>Option!$C$9</f>
        <v>20260201..20260228</v>
      </c>
      <c r="K11" s="9"/>
    </row>
    <row r="12" spans="1:31" hidden="1">
      <c r="A12" s="1" t="s">
        <v>7</v>
      </c>
      <c r="C12" s="4" t="s">
        <v>27</v>
      </c>
      <c r="E12" s="4" t="str">
        <f>Option!$C$5</f>
        <v>*</v>
      </c>
      <c r="K12" s="9"/>
    </row>
    <row r="13" spans="1:31" hidden="1">
      <c r="A13" s="1" t="s">
        <v>7</v>
      </c>
      <c r="C13" s="4" t="s">
        <v>37</v>
      </c>
      <c r="E13" s="4" t="str">
        <f>Option!$C$10</f>
        <v xml:space="preserve">'S7138270','7138270' </v>
      </c>
      <c r="K13" s="9"/>
    </row>
    <row r="14" spans="1:31" hidden="1">
      <c r="A14" s="1" t="s">
        <v>7</v>
      </c>
      <c r="C14" s="4" t="s">
        <v>35</v>
      </c>
      <c r="E14" s="4" t="str">
        <f>Option!$C$11</f>
        <v xml:space="preserve">'S7138270','7138270' </v>
      </c>
      <c r="K14" s="9"/>
    </row>
    <row r="15" spans="1:31" hidden="1">
      <c r="A15" s="1" t="s">
        <v>7</v>
      </c>
      <c r="C15" s="4" t="s">
        <v>38</v>
      </c>
      <c r="E15" s="4" t="str">
        <f>Option!$C$12</f>
        <v>'MS'</v>
      </c>
      <c r="Z15" s="14"/>
    </row>
    <row r="16" spans="1:31" hidden="1">
      <c r="A16" s="1" t="s">
        <v>7</v>
      </c>
      <c r="C16" s="4" t="s">
        <v>39</v>
      </c>
      <c r="E16" s="4" t="str">
        <f>Option!$C$13</f>
        <v>'CI1077-SGD', 'CI1136-SGD', 'CI1137-SGD', 'CI1139-SGD', 'CI1146-SGD', 'CI1185-SGD', 'CI1190-SGD','CI1209-SGD','CI1232-SGD','CI1256-SGD','CN0015-SGD','CE0080-SGD','CS0084-SGD','CS0085-SGD','CI1238-SGD','CI1190-SGD','CS0086-SGD','CS0507-SGD','CS0507-SGD','CI1261-SGD','CS0085-SGD','CC0128-SGD','CS0222-SGD','CS0226-SGD','CS0653-SGD','CI1277-SGD','CB0059-SGD''CS0678-SGD','CS0653-SGD','CS0276-SGD','CS0200-SGD'</v>
      </c>
    </row>
    <row r="17" spans="1:40" hidden="1">
      <c r="A17" s="1" t="s">
        <v>7</v>
      </c>
    </row>
    <row r="18" spans="1:40" s="22" customFormat="1" hidden="1">
      <c r="A18" s="22" t="s">
        <v>7</v>
      </c>
      <c r="I18" s="23"/>
      <c r="L18" s="24"/>
      <c r="M18" s="25"/>
      <c r="Q18" s="26"/>
      <c r="W18" s="27"/>
      <c r="AB18" s="29"/>
    </row>
    <row r="20" spans="1:40" ht="15.6">
      <c r="K20" s="18"/>
      <c r="L20" s="18"/>
      <c r="M20" s="18"/>
      <c r="N20" s="18"/>
      <c r="O20" s="18"/>
      <c r="P20" s="18"/>
      <c r="Q20" s="21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40" ht="15.6">
      <c r="K21" s="48" t="s">
        <v>40</v>
      </c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</row>
    <row r="22" spans="1:40" ht="15.6">
      <c r="K22" s="18"/>
      <c r="L22" s="18"/>
      <c r="M22" s="18"/>
      <c r="N22" s="18"/>
      <c r="O22" s="18"/>
      <c r="P22" s="18"/>
      <c r="Q22" s="21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40" ht="78">
      <c r="E23" s="10" t="s">
        <v>28</v>
      </c>
      <c r="K23" s="32" t="s">
        <v>54</v>
      </c>
      <c r="L23" s="32" t="s">
        <v>55</v>
      </c>
      <c r="M23" s="32" t="s">
        <v>14</v>
      </c>
      <c r="N23" s="32" t="s">
        <v>15</v>
      </c>
      <c r="O23" s="33" t="s">
        <v>29</v>
      </c>
      <c r="P23" s="32" t="s">
        <v>56</v>
      </c>
      <c r="Q23" s="34" t="s">
        <v>57</v>
      </c>
      <c r="R23" s="32" t="s">
        <v>30</v>
      </c>
      <c r="S23" s="34" t="s">
        <v>34</v>
      </c>
      <c r="T23" s="34" t="s">
        <v>32</v>
      </c>
      <c r="U23" s="35" t="s">
        <v>248</v>
      </c>
      <c r="V23" s="35" t="s">
        <v>16</v>
      </c>
      <c r="W23" s="36" t="s">
        <v>58</v>
      </c>
      <c r="X23" s="36" t="s">
        <v>59</v>
      </c>
      <c r="Y23" s="37" t="s">
        <v>33</v>
      </c>
      <c r="Z23" s="37" t="s">
        <v>12</v>
      </c>
      <c r="AA23" s="34" t="s">
        <v>31</v>
      </c>
      <c r="AB23" s="34" t="s">
        <v>13</v>
      </c>
      <c r="AC23" s="38" t="s">
        <v>62</v>
      </c>
      <c r="AD23" s="38" t="s">
        <v>63</v>
      </c>
      <c r="AE23" s="36" t="s">
        <v>64</v>
      </c>
      <c r="AF23" s="36" t="s">
        <v>65</v>
      </c>
      <c r="AG23" s="36" t="s">
        <v>66</v>
      </c>
      <c r="AH23" s="36" t="s">
        <v>67</v>
      </c>
      <c r="AI23" s="36" t="s">
        <v>68</v>
      </c>
      <c r="AJ23" s="36" t="s">
        <v>69</v>
      </c>
      <c r="AK23" s="36" t="s">
        <v>70</v>
      </c>
      <c r="AL23" s="32" t="s">
        <v>71</v>
      </c>
    </row>
    <row r="24" spans="1:40">
      <c r="B24" s="1" t="str">
        <f>IF(K24="","Hide","Show")</f>
        <v>Show</v>
      </c>
      <c r="C24" s="4" t="s">
        <v>43</v>
      </c>
      <c r="E24" s="11" t="str">
        <f>"""UICACS"","""",""SQL="",""2=DOCNUM"",""33041632"",""14=CUSTREF"",""2826400305"",""14=U_CUSTREF"",""2826400305"",""15=DOCDATE"",""3/2/2026"",""15=TAXDATE"",""3/2/2026"",""14=CARDCODE"",""CS0507-SGD"",""14=CARDNAME"",""SENGKANG GENERAL HOSPITAL PTE. LTD."",""14=ITEMCODE"",""MS7NQ-00300GLP"",""1"&amp;"4=ITEMNAME"",""MS SQL SERVER STANDARD CORE SLNG LSA 2L"",""10=QUANTITY"",""6.000000"",""14=U_PONO"",""962304"",""15=U_PODATE"",""2/2/2026"",""10=U_TLINTCOS"",""0.000000"",""2=SLPCODE"",""127"",""14=SLPNAME"",""E0001-GH"",""14=MEMO"",""MANZY TOH GUAN HUI"",""14=CONTACTNAME"",""FSS ACCOUNTS"&amp;" PAYABLE"",""10=LINETOTAL"",""34830.000000"",""14=U_ENR"","""",""14=U_MSENR"",""S7138270"",""14=U_MSPCN"",""BD18AB21"",""14=ADDRESS2"",""KHOO KIAN BOON_x000D_SENGKANG GENERAL HOSPITAL 110 SENGKANG EAST WAY  SINGAPORE 544886_x000D_KHOO KIAN BOON_x000D_TEL: 94233620_x000D_FAX: _x000D_EMAIL: khoo.kian.boon@"&amp;"singhealth.com.sg"""</f>
        <v>"UICACS","","SQL=","2=DOCNUM","33041632","14=CUSTREF","2826400305","14=U_CUSTREF","2826400305","15=DOCDATE","3/2/2026","15=TAXDATE","3/2/2026","14=CARDCODE","CS0507-SGD","14=CARDNAME","SENGKANG GENERAL HOSPITAL PTE. LTD.","14=ITEMCODE","MS7NQ-00300GLP","14=ITEMNAME","MS SQL SERVER STANDARD CORE SLNG LSA 2L","10=QUANTITY","6.000000","14=U_PONO","962304","15=U_PODATE","2/2/2026","10=U_TLINTCOS","0.000000","2=SLPCODE","127","14=SLPNAME","E0001-GH","14=MEMO","MANZY TOH GUAN HUI","14=CONTACTNAME","FSS ACCOUNTS PAYABLE","10=LINETOTAL","34830.000000","14=U_ENR","","14=U_MSENR","S7138270","14=U_MSPCN","BD18AB21","14=ADDRESS2","KHOO KIAN BOON_x000D_SENGKANG GENERAL HOSPITAL 110 SENGKANG EAST WAY  SINGAPORE 544886_x000D_KHOO KIAN BOON_x000D_TEL: 94233620_x000D_FAX: _x000D_EMAIL: khoo.kian.boon@singhealth.com.sg"</v>
      </c>
      <c r="K24" s="19">
        <f>MONTH(N24)</f>
        <v>2</v>
      </c>
      <c r="L24" s="19">
        <f>YEAR(N24)</f>
        <v>2026</v>
      </c>
      <c r="M24" s="4">
        <v>33041632</v>
      </c>
      <c r="N24" s="30">
        <v>46056</v>
      </c>
      <c r="O24" s="19" t="str">
        <f>"S7138270"</f>
        <v>S7138270</v>
      </c>
      <c r="P24" s="19" t="str">
        <f>"BD18AB21"</f>
        <v>BD18AB21</v>
      </c>
      <c r="Q24" s="19"/>
      <c r="R24" s="19" t="str">
        <f>"CS0507-SGD"</f>
        <v>CS0507-SGD</v>
      </c>
      <c r="S24" s="4" t="str">
        <f>"SENGKANG GENERAL HOSPITAL PTE. LTD."</f>
        <v>SENGKANG GENERAL HOSPITAL PTE. LTD.</v>
      </c>
      <c r="T24" s="19" t="str">
        <f>"2826400305"</f>
        <v>2826400305</v>
      </c>
      <c r="U24" s="39" t="str">
        <f>"962304"</f>
        <v>962304</v>
      </c>
      <c r="V24" s="39">
        <v>46055</v>
      </c>
      <c r="W24" s="39">
        <v>46056</v>
      </c>
      <c r="X24" s="40">
        <f>SUM(N24-V24)</f>
        <v>1</v>
      </c>
      <c r="Y24" s="41" t="str">
        <f>"MS7NQ-00300GLP"</f>
        <v>MS7NQ-00300GLP</v>
      </c>
      <c r="Z24" s="41" t="str">
        <f>"MS SQL SERVER STANDARD CORE SLNG LSA 2L"</f>
        <v>MS SQL SERVER STANDARD CORE SLNG LSA 2L</v>
      </c>
      <c r="AA24" s="41" t="str">
        <f>"MANZY TOH GUAN HUI"</f>
        <v>MANZY TOH GUAN HUI</v>
      </c>
      <c r="AB24" s="40">
        <v>6</v>
      </c>
      <c r="AC24" s="30" t="s">
        <v>72</v>
      </c>
      <c r="AD24" s="42" t="str">
        <f>"KHOO KIAN BOON_x000D_SENGKANG GENERAL HOSPITAL 110 SENGKANG EAST WAY  SINGAPORE 544886_x000D_KHOO KIAN BOON_x000D_TEL: 94233620_x000D_FAX: _x000D_EMAIL: khoo.kian.boon@singhealth.com.sg"</f>
        <v>KHOO KIAN BOON_x000D_SENGKANG GENERAL HOSPITAL 110 SENGKANG EAST WAY  SINGAPORE 544886_x000D_KHOO KIAN BOON_x000D_TEL: 94233620_x000D_FAX: _x000D_EMAIL: khoo.kian.boon@singhealth.com.sg</v>
      </c>
      <c r="AE24" s="43" t="s">
        <v>73</v>
      </c>
      <c r="AF24" s="43" t="s">
        <v>74</v>
      </c>
      <c r="AG24" s="3" t="str">
        <f>"MS7NQ-00300GLP"</f>
        <v>MS7NQ-00300GLP</v>
      </c>
      <c r="AH24" s="3" t="str">
        <f>"MS SQL SERVER STANDARD CORE SLNG LSA 2L"</f>
        <v>MS SQL SERVER STANDARD CORE SLNG LSA 2L</v>
      </c>
      <c r="AI24" s="19" t="s">
        <v>255</v>
      </c>
      <c r="AJ24" s="19" t="s">
        <v>253</v>
      </c>
      <c r="AK24" s="19" t="s">
        <v>254</v>
      </c>
      <c r="AL24" s="19" t="s">
        <v>258</v>
      </c>
    </row>
    <row r="25" spans="1:40">
      <c r="A25" s="1" t="s">
        <v>166</v>
      </c>
      <c r="B25" s="1" t="str">
        <f t="shared" ref="B25:B26" si="0">IF(K25="","Hide","Show")</f>
        <v>Show</v>
      </c>
      <c r="C25" s="4" t="s">
        <v>43</v>
      </c>
      <c r="E25" s="11" t="str">
        <f>"""UICACS"","""",""SQL="",""2=DOCNUM"",""33041686"",""14=CUSTREF"",""6726000145"",""14=U_CUSTREF"",""6726000145"",""15=DOCDATE"",""16/2/2026"",""15=TAXDATE"",""16/2/2026"",""14=CARDCODE"",""CI1256-SGD"",""14=CARDNAME"",""SINGAPORE HEALTH SERVICES PTE LTD"",""14=ITEMCODE"",""MS7NQ-00300GLP"",""1"&amp;"4=ITEMNAME"",""MS SQL SERVER STANDARD CORE SLNG LSA 2L"",""10=QUANTITY"",""6.000000"",""14=U_PONO"",""962538"",""15=U_PODATE"",""13/2/2026"",""10=U_TLINTCOS"",""0.000000"",""2=SLPCODE"",""127"",""14=SLPNAME"",""E0001-GH"",""14=MEMO"",""MANZY TOH GUAN HUI"",""14=CONTACTNAME"",""FINANCE DEP"&amp;"ARTMENT"",""10=LINETOTAL"",""34399.980000"",""14=U_ENR"","""",""14=U_MSENR"",""S7138270"",""14=U_MSPCN"",""8E125DFC"",""14=ADDRESS2"",""ANIZAH_x000D_SINGAPORE HEALTH SERVICES PTE LTD 168 JALAN BUKIT MERAH, #16-01, SURBANA ONE, SINGAPROE 150168_x000D_ANIZAH_x000D_TEL: 97665661_x000D_FAX: _x000D_EMAIL: ani"&amp;"zah.amin@synapxe.sg"""</f>
        <v>"UICACS","","SQL=","2=DOCNUM","33041686","14=CUSTREF","6726000145","14=U_CUSTREF","6726000145","15=DOCDATE","16/2/2026","15=TAXDATE","16/2/2026","14=CARDCODE","CI1256-SGD","14=CARDNAME","SINGAPORE HEALTH SERVICES PTE LTD","14=ITEMCODE","MS7NQ-00300GLP","14=ITEMNAME","MS SQL SERVER STANDARD CORE SLNG LSA 2L","10=QUANTITY","6.000000","14=U_PONO","962538","15=U_PODATE","13/2/2026","10=U_TLINTCOS","0.000000","2=SLPCODE","127","14=SLPNAME","E0001-GH","14=MEMO","MANZY TOH GUAN HUI","14=CONTACTNAME","FINANCE DEPARTMENT","10=LINETOTAL","34399.980000","14=U_ENR","","14=U_MSENR","S7138270","14=U_MSPCN","8E125DFC","14=ADDRESS2","ANIZAH_x000D_SINGAPORE HEALTH SERVICES PTE LTD 168 JALAN BUKIT MERAH, #16-01, SURBANA ONE, SINGAPROE 150168_x000D_ANIZAH_x000D_TEL: 97665661_x000D_FAX: _x000D_EMAIL: anizah.amin@synapxe.sg"</v>
      </c>
      <c r="K25" s="19">
        <f>MONTH(N25)</f>
        <v>2</v>
      </c>
      <c r="L25" s="19">
        <f>YEAR(N25)</f>
        <v>2026</v>
      </c>
      <c r="M25" s="4">
        <v>33041686</v>
      </c>
      <c r="N25" s="30">
        <v>46069</v>
      </c>
      <c r="O25" s="19" t="str">
        <f>"S7138270"</f>
        <v>S7138270</v>
      </c>
      <c r="P25" s="19" t="str">
        <f>"8E125DFC"</f>
        <v>8E125DFC</v>
      </c>
      <c r="Q25" s="19"/>
      <c r="R25" s="19" t="str">
        <f>"CI1256-SGD"</f>
        <v>CI1256-SGD</v>
      </c>
      <c r="S25" s="4" t="str">
        <f>"SINGAPORE HEALTH SERVICES PTE LTD"</f>
        <v>SINGAPORE HEALTH SERVICES PTE LTD</v>
      </c>
      <c r="T25" s="19" t="str">
        <f>"6726000145"</f>
        <v>6726000145</v>
      </c>
      <c r="U25" s="39" t="str">
        <f>"962538"</f>
        <v>962538</v>
      </c>
      <c r="V25" s="39">
        <v>46066</v>
      </c>
      <c r="W25" s="39">
        <v>46069</v>
      </c>
      <c r="X25" s="40">
        <f>SUM(N25-V25)</f>
        <v>3</v>
      </c>
      <c r="Y25" s="41" t="str">
        <f>"MS7NQ-00300GLP"</f>
        <v>MS7NQ-00300GLP</v>
      </c>
      <c r="Z25" s="41" t="str">
        <f>"MS SQL SERVER STANDARD CORE SLNG LSA 2L"</f>
        <v>MS SQL SERVER STANDARD CORE SLNG LSA 2L</v>
      </c>
      <c r="AA25" s="41" t="str">
        <f>"MANZY TOH GUAN HUI"</f>
        <v>MANZY TOH GUAN HUI</v>
      </c>
      <c r="AB25" s="40">
        <v>6</v>
      </c>
      <c r="AC25" s="30" t="s">
        <v>72</v>
      </c>
      <c r="AD25" s="42" t="str">
        <f>"ANIZAH_x000D_SINGAPORE HEALTH SERVICES PTE LTD 168 JALAN BUKIT MERAH, #16-01, SURBANA ONE, SINGAPROE 150168_x000D_ANIZAH_x000D_TEL: 97665661_x000D_FAX: _x000D_EMAIL: anizah.amin@synapxe.sg"</f>
        <v>ANIZAH_x000D_SINGAPORE HEALTH SERVICES PTE LTD 168 JALAN BUKIT MERAH, #16-01, SURBANA ONE, SINGAPROE 150168_x000D_ANIZAH_x000D_TEL: 97665661_x000D_FAX: _x000D_EMAIL: anizah.amin@synapxe.sg</v>
      </c>
      <c r="AE25" s="43" t="s">
        <v>73</v>
      </c>
      <c r="AF25" s="43" t="s">
        <v>74</v>
      </c>
      <c r="AG25" s="3" t="str">
        <f>"MS7NQ-00300GLP"</f>
        <v>MS7NQ-00300GLP</v>
      </c>
      <c r="AH25" s="3" t="str">
        <f>"MS SQL SERVER STANDARD CORE SLNG LSA 2L"</f>
        <v>MS SQL SERVER STANDARD CORE SLNG LSA 2L</v>
      </c>
      <c r="AI25" s="19" t="s">
        <v>255</v>
      </c>
      <c r="AJ25" s="19" t="s">
        <v>256</v>
      </c>
      <c r="AK25" s="19" t="s">
        <v>254</v>
      </c>
      <c r="AL25" s="19" t="s">
        <v>258</v>
      </c>
    </row>
    <row r="26" spans="1:40">
      <c r="A26" s="1" t="s">
        <v>166</v>
      </c>
      <c r="B26" s="1" t="str">
        <f t="shared" si="0"/>
        <v>Show</v>
      </c>
      <c r="C26" s="4" t="s">
        <v>43</v>
      </c>
      <c r="E26" s="11" t="str">
        <f>"""UICACS"","""",""SQL="",""2=DOCNUM"",""33041716"",""14=CUSTREF"",""9410287736"",""14=U_CUSTREF"",""9410287736"",""15=DOCDATE"",""23/2/2026"",""15=TAXDATE"",""23/2/2026"",""14=CARDCODE"",""CI1077-SGD"",""14=CARDNAME"",""KK WOMEN'S AND CHILDREN'S HOSPITAL"",""14=ITEMCODE"",""MS7NQ-00300GLP"","""&amp;"14=ITEMNAME"",""MS SQL SERVER STANDARD CORE SLNG LSA 2L"",""10=QUANTITY"",""6.000000"",""14=U_PONO"",""962571"",""15=U_PODATE"",""16/2/2026"",""10=U_TLINTCOS"",""0.000000"",""2=SLPCODE"",""127"",""14=SLPNAME"",""E0001-GH"",""14=MEMO"",""MANZY TOH GUAN HUI"",""14=CONTACTNAME"",""FINANCE DE"&amp;"PARTMENT"",""10=LINETOTAL"",""35689.980000"",""14=U_ENR"","""",""14=U_MSENR"",""S7138270"",""14=U_MSPCN"",""B1EFBA40"",""14=ADDRESS2"",""ANIZAH_x000D_KK WOMEN'S AND CHILDREN'S HOSPITAL 100 BUKIT TIMAH ROAD,  SINGAPORE 229899_x000D_ANIZAH_x000D_TEL: 65941737_x000D_FAX: _x000D_EMAIL: anizah.amin@ihis.com.s"&amp;"g"""</f>
        <v>"UICACS","","SQL=","2=DOCNUM","33041716","14=CUSTREF","9410287736","14=U_CUSTREF","9410287736","15=DOCDATE","23/2/2026","15=TAXDATE","23/2/2026","14=CARDCODE","CI1077-SGD","14=CARDNAME","KK WOMEN'S AND CHILDREN'S HOSPITAL","14=ITEMCODE","MS7NQ-00300GLP","14=ITEMNAME","MS SQL SERVER STANDARD CORE SLNG LSA 2L","10=QUANTITY","6.000000","14=U_PONO","962571","15=U_PODATE","16/2/2026","10=U_TLINTCOS","0.000000","2=SLPCODE","127","14=SLPNAME","E0001-GH","14=MEMO","MANZY TOH GUAN HUI","14=CONTACTNAME","FINANCE DEPARTMENT","10=LINETOTAL","35689.980000","14=U_ENR","","14=U_MSENR","S7138270","14=U_MSPCN","B1EFBA40","14=ADDRESS2","ANIZAH_x000D_KK WOMEN'S AND CHILDREN'S HOSPITAL 100 BUKIT TIMAH ROAD,  SINGAPORE 229899_x000D_ANIZAH_x000D_TEL: 65941737_x000D_FAX: _x000D_EMAIL: anizah.amin@ihis.com.sg"</v>
      </c>
      <c r="K26" s="19">
        <f>MONTH(N26)</f>
        <v>2</v>
      </c>
      <c r="L26" s="19">
        <f>YEAR(N26)</f>
        <v>2026</v>
      </c>
      <c r="M26" s="4">
        <v>33041716</v>
      </c>
      <c r="N26" s="30">
        <v>46076</v>
      </c>
      <c r="O26" s="19" t="str">
        <f>"S7138270"</f>
        <v>S7138270</v>
      </c>
      <c r="P26" s="19" t="str">
        <f>"B1EFBA40"</f>
        <v>B1EFBA40</v>
      </c>
      <c r="Q26" s="19"/>
      <c r="R26" s="19" t="str">
        <f>"CI1077-SGD"</f>
        <v>CI1077-SGD</v>
      </c>
      <c r="S26" s="4" t="str">
        <f>"KK WOMEN'S AND CHILDREN'S HOSPITAL"</f>
        <v>KK WOMEN'S AND CHILDREN'S HOSPITAL</v>
      </c>
      <c r="T26" s="19" t="str">
        <f>"9410287736"</f>
        <v>9410287736</v>
      </c>
      <c r="U26" s="39" t="str">
        <f>"962571"</f>
        <v>962571</v>
      </c>
      <c r="V26" s="39">
        <v>46069</v>
      </c>
      <c r="W26" s="39">
        <v>46076</v>
      </c>
      <c r="X26" s="40">
        <f>SUM(N26-V26)</f>
        <v>7</v>
      </c>
      <c r="Y26" s="41" t="str">
        <f>"MS7NQ-00300GLP"</f>
        <v>MS7NQ-00300GLP</v>
      </c>
      <c r="Z26" s="41" t="str">
        <f>"MS SQL SERVER STANDARD CORE SLNG LSA 2L"</f>
        <v>MS SQL SERVER STANDARD CORE SLNG LSA 2L</v>
      </c>
      <c r="AA26" s="41" t="str">
        <f>"MANZY TOH GUAN HUI"</f>
        <v>MANZY TOH GUAN HUI</v>
      </c>
      <c r="AB26" s="40">
        <v>6</v>
      </c>
      <c r="AC26" s="30" t="s">
        <v>72</v>
      </c>
      <c r="AD26" s="42" t="str">
        <f>"ANIZAH_x000D_KK WOMEN'S AND CHILDREN'S HOSPITAL 100 BUKIT TIMAH ROAD,  SINGAPORE 229899_x000D_ANIZAH_x000D_TEL: 65941737_x000D_FAX: _x000D_EMAIL: anizah.amin@ihis.com.sg"</f>
        <v>ANIZAH_x000D_KK WOMEN'S AND CHILDREN'S HOSPITAL 100 BUKIT TIMAH ROAD,  SINGAPORE 229899_x000D_ANIZAH_x000D_TEL: 65941737_x000D_FAX: _x000D_EMAIL: anizah.amin@ihis.com.sg</v>
      </c>
      <c r="AE26" s="43" t="s">
        <v>73</v>
      </c>
      <c r="AF26" s="43" t="s">
        <v>74</v>
      </c>
      <c r="AG26" s="3" t="str">
        <f>"MS7NQ-00300GLP"</f>
        <v>MS7NQ-00300GLP</v>
      </c>
      <c r="AH26" s="3" t="str">
        <f>"MS SQL SERVER STANDARD CORE SLNG LSA 2L"</f>
        <v>MS SQL SERVER STANDARD CORE SLNG LSA 2L</v>
      </c>
      <c r="AI26" s="19" t="s">
        <v>255</v>
      </c>
      <c r="AJ26" s="19" t="s">
        <v>253</v>
      </c>
      <c r="AK26" s="19" t="s">
        <v>257</v>
      </c>
      <c r="AL26" s="19" t="s">
        <v>259</v>
      </c>
    </row>
    <row r="27" spans="1:40" hidden="1">
      <c r="B27" s="1" t="str">
        <f>IF(K27="","Hide","Show")</f>
        <v>Hide</v>
      </c>
      <c r="C27" s="4" t="s">
        <v>44</v>
      </c>
      <c r="E27" s="11" t="str">
        <f>""</f>
        <v/>
      </c>
      <c r="K27" s="4" t="str">
        <f>""</f>
        <v/>
      </c>
      <c r="L27" s="30" t="str">
        <f>""</f>
        <v/>
      </c>
      <c r="M27" s="4" t="str">
        <f>""</f>
        <v/>
      </c>
      <c r="N27" s="4" t="str">
        <f>""</f>
        <v/>
      </c>
      <c r="O27" s="4" t="str">
        <f>""</f>
        <v/>
      </c>
      <c r="P27" s="4" t="str">
        <f>""</f>
        <v/>
      </c>
      <c r="Q27" s="3" t="str">
        <f>""</f>
        <v/>
      </c>
      <c r="R27" s="5"/>
      <c r="S27" s="4" t="str">
        <f>""</f>
        <v/>
      </c>
      <c r="T27" s="4" t="str">
        <f>""</f>
        <v/>
      </c>
      <c r="V27" s="4" t="str">
        <f>""</f>
        <v/>
      </c>
      <c r="W27" s="17" t="str">
        <f>""</f>
        <v/>
      </c>
      <c r="X27" s="40" t="e">
        <f t="shared" ref="X27:X29" si="1">SUM(N27-V27)</f>
        <v>#VALUE!</v>
      </c>
      <c r="Y27" s="16" t="str">
        <f>""</f>
        <v/>
      </c>
      <c r="Z27" s="5" t="str">
        <f>""</f>
        <v/>
      </c>
      <c r="AA27" s="4" t="str">
        <f>""</f>
        <v/>
      </c>
      <c r="AB27" s="43">
        <f>IFERROR(#REF!/W27,0)</f>
        <v>0</v>
      </c>
      <c r="AC27" s="30" t="s">
        <v>72</v>
      </c>
      <c r="AF27" s="43" t="s">
        <v>74</v>
      </c>
    </row>
    <row r="28" spans="1:40" hidden="1">
      <c r="B28" s="1" t="str">
        <f>IF(K28="","Hide","Show")</f>
        <v>Hide</v>
      </c>
      <c r="C28" s="4" t="s">
        <v>45</v>
      </c>
      <c r="E28" s="11" t="str">
        <f>""</f>
        <v/>
      </c>
      <c r="K28" s="4" t="str">
        <f>""</f>
        <v/>
      </c>
      <c r="L28" s="30" t="str">
        <f>""</f>
        <v/>
      </c>
      <c r="M28" s="4" t="str">
        <f>""</f>
        <v/>
      </c>
      <c r="N28" s="4" t="str">
        <f>""</f>
        <v/>
      </c>
      <c r="O28" s="4" t="str">
        <f>""</f>
        <v/>
      </c>
      <c r="P28" s="4" t="str">
        <f>""</f>
        <v/>
      </c>
      <c r="Q28" s="3" t="str">
        <f>""</f>
        <v/>
      </c>
      <c r="R28" s="5"/>
      <c r="S28" s="4" t="str">
        <f>""</f>
        <v/>
      </c>
      <c r="T28" s="4" t="str">
        <f>""</f>
        <v/>
      </c>
      <c r="V28" s="4" t="str">
        <f>""</f>
        <v/>
      </c>
      <c r="W28" s="17" t="str">
        <f>""</f>
        <v/>
      </c>
      <c r="X28" s="40" t="e">
        <f t="shared" si="1"/>
        <v>#VALUE!</v>
      </c>
      <c r="Y28" s="16" t="str">
        <f>""</f>
        <v/>
      </c>
      <c r="Z28" s="5" t="str">
        <f>""</f>
        <v/>
      </c>
      <c r="AA28" s="4" t="str">
        <f>""</f>
        <v/>
      </c>
      <c r="AB28" s="43">
        <f>IFERROR(#REF!/W28,0)</f>
        <v>0</v>
      </c>
      <c r="AC28" s="30" t="s">
        <v>72</v>
      </c>
      <c r="AF28" s="43" t="s">
        <v>74</v>
      </c>
    </row>
    <row r="29" spans="1:40">
      <c r="K29" s="19">
        <v>2</v>
      </c>
      <c r="L29" s="19">
        <v>2026</v>
      </c>
      <c r="M29" s="46">
        <v>33041648</v>
      </c>
      <c r="N29" s="14">
        <v>46062</v>
      </c>
      <c r="O29" s="19" t="str">
        <f>"S7138270"</f>
        <v>S7138270</v>
      </c>
      <c r="P29" s="4" t="s">
        <v>246</v>
      </c>
      <c r="R29" s="4" t="s">
        <v>247</v>
      </c>
      <c r="S29" s="46" t="str">
        <f>"ST. ANDREW'S COMMUNITY HOSPITAL (BEDOK)"</f>
        <v>ST. ANDREW'S COMMUNITY HOSPITAL (BEDOK)</v>
      </c>
      <c r="T29" s="3">
        <v>4500022556</v>
      </c>
      <c r="U29" s="19">
        <v>962390</v>
      </c>
      <c r="V29" s="14">
        <v>46058</v>
      </c>
      <c r="W29" s="14">
        <v>46062</v>
      </c>
      <c r="X29" s="40">
        <f t="shared" si="1"/>
        <v>4</v>
      </c>
      <c r="Y29" s="4" t="s">
        <v>250</v>
      </c>
      <c r="Z29" s="4" t="s">
        <v>251</v>
      </c>
      <c r="AA29" s="4" t="s">
        <v>249</v>
      </c>
      <c r="AB29" s="47">
        <v>17</v>
      </c>
      <c r="AC29" s="30" t="s">
        <v>72</v>
      </c>
      <c r="AD29" s="4" t="s">
        <v>260</v>
      </c>
      <c r="AF29" s="43" t="s">
        <v>74</v>
      </c>
      <c r="AG29" s="4" t="s">
        <v>250</v>
      </c>
      <c r="AH29" s="4" t="s">
        <v>251</v>
      </c>
      <c r="AI29" s="4" t="s">
        <v>252</v>
      </c>
      <c r="AJ29" s="4" t="s">
        <v>258</v>
      </c>
      <c r="AK29" s="4" t="s">
        <v>258</v>
      </c>
      <c r="AL29" s="4" t="s">
        <v>258</v>
      </c>
    </row>
    <row r="30" spans="1:40">
      <c r="AF30" s="14"/>
    </row>
    <row r="31" spans="1:40">
      <c r="AM31" s="14"/>
    </row>
    <row r="32" spans="1:40">
      <c r="AN32" s="14"/>
    </row>
    <row r="33" spans="41:43">
      <c r="AO33" s="14"/>
    </row>
    <row r="34" spans="41:43">
      <c r="AP34" s="14"/>
    </row>
    <row r="35" spans="41:43">
      <c r="AQ35" s="14"/>
    </row>
  </sheetData>
  <sortState xmlns:xlrd2="http://schemas.microsoft.com/office/spreadsheetml/2017/richdata2" ref="K24:AB24">
    <sortCondition ref="N24"/>
  </sortState>
  <mergeCells count="1">
    <mergeCell ref="K21:AA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7852-5CFC-4F6B-A694-0A65C14A8F52}">
  <dimension ref="A1:B8"/>
  <sheetViews>
    <sheetView topLeftCell="B2" workbookViewId="0">
      <selection activeCell="B8" sqref="B8"/>
    </sheetView>
  </sheetViews>
  <sheetFormatPr defaultRowHeight="14.4"/>
  <cols>
    <col min="1" max="1" width="8.77734375" hidden="1" customWidth="1"/>
    <col min="2" max="2" width="13.44140625" customWidth="1"/>
  </cols>
  <sheetData>
    <row r="1" spans="1:2" hidden="1">
      <c r="A1" t="s">
        <v>76</v>
      </c>
    </row>
    <row r="5" spans="1:2">
      <c r="B5" s="44" t="s">
        <v>75</v>
      </c>
    </row>
    <row r="7" spans="1:2">
      <c r="B7" s="6" t="str">
        <f>"'CI1077-SGD', 'CI1136-SGD', 'CI1137-SGD', 'CI1139-SGD', 'CI1146-SGD', 'CI1185-SGD', 'CI1190-SGD','CI1209-SGD','CI1232-SGD','CI1256-SGD','CN0015-SGD','CE0080-SGD','CS0084-SGD',"</f>
        <v>'CI1077-SGD', 'CI1136-SGD', 'CI1137-SGD', 'CI1139-SGD', 'CI1146-SGD', 'CI1185-SGD', 'CI1190-SGD','CI1209-SGD','CI1232-SGD','CI1256-SGD','CN0015-SGD','CE0080-SGD','CS0084-SGD',</v>
      </c>
    </row>
    <row r="8" spans="1:2">
      <c r="B8" s="4" t="str">
        <f>"'CS0085-SGD','CI1238-SGD','CI1190-SGD','CS0086-SGD','CS0507-SGD','CS0507-SGD','CI1261-SGD','CS0085-SGD','CC0128-SGD','CS0222-SGD','CS0226-SGD','CS0653-SGD','CI1277-SGD','CB0059-SGD''CS0678-SGD','CS0653-SGD','CS0276-SGD','CS0200-SGD'"</f>
        <v>'CS0085-SGD','CI1238-SGD','CI1190-SGD','CS0086-SGD','CS0507-SGD','CS0507-SGD','CI1261-SGD','CS0085-SGD','CC0128-SGD','CS0222-SGD','CS0226-SGD','CS0653-SGD','CI1277-SGD','CB0059-SGD''CS0678-SGD','CS0653-SGD','CS0276-SGD','CS0200-SGD'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020C-E21E-4C78-8DE7-07398900ACA9}">
  <dimension ref="A1:E30"/>
  <sheetViews>
    <sheetView workbookViewId="0"/>
  </sheetViews>
  <sheetFormatPr defaultRowHeight="14.4"/>
  <sheetData>
    <row r="1" spans="1:5">
      <c r="A1" s="45" t="s">
        <v>87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234</v>
      </c>
    </row>
    <row r="4" spans="1:5">
      <c r="A4" s="45" t="s">
        <v>0</v>
      </c>
      <c r="B4" s="45" t="s">
        <v>6</v>
      </c>
      <c r="C4" s="45" t="s">
        <v>235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A4F6-AA5C-4E59-8238-82855A73E5FE}">
  <dimension ref="A1:E30"/>
  <sheetViews>
    <sheetView workbookViewId="0"/>
  </sheetViews>
  <sheetFormatPr defaultRowHeight="14.4"/>
  <sheetData>
    <row r="1" spans="1:5">
      <c r="A1" s="45" t="s">
        <v>87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234</v>
      </c>
    </row>
    <row r="4" spans="1:5">
      <c r="A4" s="45" t="s">
        <v>0</v>
      </c>
      <c r="B4" s="45" t="s">
        <v>6</v>
      </c>
      <c r="C4" s="45" t="s">
        <v>235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E420-1081-4367-8712-55FB380D588C}">
  <dimension ref="A1:AP28"/>
  <sheetViews>
    <sheetView workbookViewId="0"/>
  </sheetViews>
  <sheetFormatPr defaultRowHeight="14.4"/>
  <sheetData>
    <row r="1" spans="1:35">
      <c r="A1" s="45" t="s">
        <v>165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B25" s="45" t="s">
        <v>130</v>
      </c>
      <c r="C25" s="45" t="s">
        <v>44</v>
      </c>
      <c r="E25" s="45" t="s">
        <v>131</v>
      </c>
      <c r="K25" s="45" t="s">
        <v>132</v>
      </c>
      <c r="L25" s="45" t="s">
        <v>133</v>
      </c>
      <c r="M25" s="45" t="s">
        <v>134</v>
      </c>
      <c r="N25" s="45" t="s">
        <v>135</v>
      </c>
      <c r="O25" s="45" t="s">
        <v>136</v>
      </c>
      <c r="P25" s="45" t="s">
        <v>137</v>
      </c>
      <c r="Q25" s="45" t="s">
        <v>138</v>
      </c>
      <c r="S25" s="45" t="s">
        <v>137</v>
      </c>
      <c r="T25" s="45" t="s">
        <v>139</v>
      </c>
      <c r="V25" s="45" t="s">
        <v>140</v>
      </c>
      <c r="W25" s="45" t="s">
        <v>141</v>
      </c>
      <c r="X25" s="45" t="s">
        <v>142</v>
      </c>
      <c r="Y25" s="45" t="s">
        <v>143</v>
      </c>
      <c r="Z25" s="45" t="s">
        <v>144</v>
      </c>
      <c r="AA25" s="45" t="s">
        <v>145</v>
      </c>
      <c r="AB25" s="45" t="s">
        <v>227</v>
      </c>
      <c r="AC25" s="45" t="s">
        <v>146</v>
      </c>
    </row>
    <row r="26" spans="1:42">
      <c r="B26" s="45" t="s">
        <v>147</v>
      </c>
      <c r="C26" s="45" t="s">
        <v>45</v>
      </c>
      <c r="E26" s="45" t="s">
        <v>148</v>
      </c>
      <c r="K26" s="45" t="s">
        <v>149</v>
      </c>
      <c r="L26" s="45" t="s">
        <v>150</v>
      </c>
      <c r="M26" s="45" t="s">
        <v>151</v>
      </c>
      <c r="N26" s="45" t="s">
        <v>152</v>
      </c>
      <c r="O26" s="45" t="s">
        <v>153</v>
      </c>
      <c r="P26" s="45" t="s">
        <v>154</v>
      </c>
      <c r="Q26" s="45" t="s">
        <v>155</v>
      </c>
      <c r="S26" s="45" t="s">
        <v>154</v>
      </c>
      <c r="T26" s="45" t="s">
        <v>156</v>
      </c>
      <c r="V26" s="45" t="s">
        <v>157</v>
      </c>
      <c r="W26" s="45" t="s">
        <v>158</v>
      </c>
      <c r="X26" s="45" t="s">
        <v>159</v>
      </c>
      <c r="Y26" s="45" t="s">
        <v>160</v>
      </c>
      <c r="Z26" s="45" t="s">
        <v>161</v>
      </c>
      <c r="AA26" s="45" t="s">
        <v>162</v>
      </c>
      <c r="AB26" s="45" t="s">
        <v>228</v>
      </c>
      <c r="AC26" s="45" t="s">
        <v>163</v>
      </c>
    </row>
    <row r="28" spans="1:42">
      <c r="AB28" s="45" t="s">
        <v>164</v>
      </c>
      <c r="AC28" s="45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2CB93-2164-433E-854C-129B21A97D81}">
  <dimension ref="A1:AP28"/>
  <sheetViews>
    <sheetView workbookViewId="0"/>
  </sheetViews>
  <sheetFormatPr defaultRowHeight="14.4"/>
  <sheetData>
    <row r="1" spans="1:35">
      <c r="A1" s="45" t="s">
        <v>165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B25" s="45" t="s">
        <v>130</v>
      </c>
      <c r="C25" s="45" t="s">
        <v>44</v>
      </c>
      <c r="E25" s="45" t="s">
        <v>131</v>
      </c>
      <c r="K25" s="45" t="s">
        <v>132</v>
      </c>
      <c r="L25" s="45" t="s">
        <v>133</v>
      </c>
      <c r="M25" s="45" t="s">
        <v>134</v>
      </c>
      <c r="N25" s="45" t="s">
        <v>135</v>
      </c>
      <c r="O25" s="45" t="s">
        <v>136</v>
      </c>
      <c r="P25" s="45" t="s">
        <v>137</v>
      </c>
      <c r="Q25" s="45" t="s">
        <v>138</v>
      </c>
      <c r="S25" s="45" t="s">
        <v>137</v>
      </c>
      <c r="T25" s="45" t="s">
        <v>139</v>
      </c>
      <c r="V25" s="45" t="s">
        <v>140</v>
      </c>
      <c r="W25" s="45" t="s">
        <v>141</v>
      </c>
      <c r="X25" s="45" t="s">
        <v>142</v>
      </c>
      <c r="Y25" s="45" t="s">
        <v>143</v>
      </c>
      <c r="Z25" s="45" t="s">
        <v>144</v>
      </c>
      <c r="AA25" s="45" t="s">
        <v>145</v>
      </c>
      <c r="AB25" s="45" t="s">
        <v>227</v>
      </c>
      <c r="AC25" s="45" t="s">
        <v>146</v>
      </c>
    </row>
    <row r="26" spans="1:42">
      <c r="B26" s="45" t="s">
        <v>147</v>
      </c>
      <c r="C26" s="45" t="s">
        <v>45</v>
      </c>
      <c r="E26" s="45" t="s">
        <v>148</v>
      </c>
      <c r="K26" s="45" t="s">
        <v>149</v>
      </c>
      <c r="L26" s="45" t="s">
        <v>150</v>
      </c>
      <c r="M26" s="45" t="s">
        <v>151</v>
      </c>
      <c r="N26" s="45" t="s">
        <v>152</v>
      </c>
      <c r="O26" s="45" t="s">
        <v>153</v>
      </c>
      <c r="P26" s="45" t="s">
        <v>154</v>
      </c>
      <c r="Q26" s="45" t="s">
        <v>155</v>
      </c>
      <c r="S26" s="45" t="s">
        <v>154</v>
      </c>
      <c r="T26" s="45" t="s">
        <v>156</v>
      </c>
      <c r="V26" s="45" t="s">
        <v>157</v>
      </c>
      <c r="W26" s="45" t="s">
        <v>158</v>
      </c>
      <c r="X26" s="45" t="s">
        <v>159</v>
      </c>
      <c r="Y26" s="45" t="s">
        <v>160</v>
      </c>
      <c r="Z26" s="45" t="s">
        <v>161</v>
      </c>
      <c r="AA26" s="45" t="s">
        <v>162</v>
      </c>
      <c r="AB26" s="45" t="s">
        <v>228</v>
      </c>
      <c r="AC26" s="45" t="s">
        <v>163</v>
      </c>
    </row>
    <row r="28" spans="1:42">
      <c r="AB28" s="45" t="s">
        <v>164</v>
      </c>
      <c r="AC28" s="45" t="s">
        <v>229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77650-7474-4B0D-A41C-B0EF7A6CFC2E}">
  <dimension ref="A1:E30"/>
  <sheetViews>
    <sheetView workbookViewId="0"/>
  </sheetViews>
  <sheetFormatPr defaultRowHeight="14.4"/>
  <sheetData>
    <row r="1" spans="1:5">
      <c r="A1" s="45" t="s">
        <v>168</v>
      </c>
      <c r="B1" s="45" t="s">
        <v>1</v>
      </c>
      <c r="C1" s="45" t="s">
        <v>2</v>
      </c>
      <c r="D1" s="45" t="s">
        <v>3</v>
      </c>
    </row>
    <row r="2" spans="1:5">
      <c r="B2" s="45" t="s">
        <v>18</v>
      </c>
      <c r="C2" s="45" t="s">
        <v>4</v>
      </c>
    </row>
    <row r="3" spans="1:5">
      <c r="A3" s="45" t="s">
        <v>0</v>
      </c>
      <c r="B3" s="45" t="s">
        <v>5</v>
      </c>
      <c r="C3" s="45" t="s">
        <v>234</v>
      </c>
    </row>
    <row r="4" spans="1:5">
      <c r="A4" s="45" t="s">
        <v>0</v>
      </c>
      <c r="B4" s="45" t="s">
        <v>6</v>
      </c>
      <c r="C4" s="45" t="s">
        <v>235</v>
      </c>
    </row>
    <row r="5" spans="1:5">
      <c r="A5" s="45" t="s">
        <v>0</v>
      </c>
      <c r="B5" s="45" t="s">
        <v>25</v>
      </c>
      <c r="C5" s="45" t="s">
        <v>77</v>
      </c>
      <c r="D5" s="45" t="s">
        <v>78</v>
      </c>
      <c r="E5" s="45" t="s">
        <v>51</v>
      </c>
    </row>
    <row r="8" spans="1:5">
      <c r="A8" s="45" t="s">
        <v>8</v>
      </c>
      <c r="C8" s="45" t="s">
        <v>79</v>
      </c>
    </row>
    <row r="9" spans="1:5">
      <c r="A9" s="45" t="s">
        <v>9</v>
      </c>
      <c r="C9" s="45" t="s">
        <v>80</v>
      </c>
    </row>
    <row r="10" spans="1:5">
      <c r="B10" s="45" t="s">
        <v>37</v>
      </c>
      <c r="C10" s="45" t="s">
        <v>81</v>
      </c>
    </row>
    <row r="11" spans="1:5">
      <c r="B11" s="45" t="s">
        <v>35</v>
      </c>
      <c r="C11" s="45" t="s">
        <v>81</v>
      </c>
    </row>
    <row r="12" spans="1:5">
      <c r="B12" s="45" t="s">
        <v>38</v>
      </c>
      <c r="C12" s="45" t="s">
        <v>82</v>
      </c>
    </row>
    <row r="13" spans="1:5">
      <c r="B13" s="45" t="s">
        <v>39</v>
      </c>
      <c r="C13" s="45" t="s">
        <v>83</v>
      </c>
      <c r="D13" s="45" t="s">
        <v>84</v>
      </c>
    </row>
    <row r="14" spans="1:5">
      <c r="D14" s="45" t="s">
        <v>85</v>
      </c>
    </row>
    <row r="15" spans="1:5">
      <c r="D15" s="45" t="s">
        <v>52</v>
      </c>
    </row>
    <row r="28" spans="3:4">
      <c r="C28" s="45" t="s">
        <v>53</v>
      </c>
      <c r="D28" s="45" t="s">
        <v>52</v>
      </c>
    </row>
    <row r="29" spans="3:4">
      <c r="D29" s="45" t="s">
        <v>84</v>
      </c>
    </row>
    <row r="30" spans="3:4">
      <c r="D30" s="45" t="s">
        <v>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A614D-BB25-4EC2-80EA-FAC28D9CE3B1}">
  <dimension ref="A1:AP30"/>
  <sheetViews>
    <sheetView workbookViewId="0"/>
  </sheetViews>
  <sheetFormatPr defaultRowHeight="14.4"/>
  <sheetData>
    <row r="1" spans="1:35">
      <c r="A1" s="45" t="s">
        <v>222</v>
      </c>
      <c r="B1" s="45" t="s">
        <v>41</v>
      </c>
      <c r="C1" s="45" t="s">
        <v>7</v>
      </c>
      <c r="D1" s="45" t="s">
        <v>7</v>
      </c>
      <c r="E1" s="45" t="s">
        <v>7</v>
      </c>
      <c r="F1" s="45" t="s">
        <v>7</v>
      </c>
      <c r="G1" s="45" t="s">
        <v>7</v>
      </c>
      <c r="H1" s="45" t="s">
        <v>7</v>
      </c>
      <c r="I1" s="45" t="s">
        <v>7</v>
      </c>
      <c r="J1" s="45" t="s">
        <v>48</v>
      </c>
      <c r="K1" s="45" t="s">
        <v>17</v>
      </c>
      <c r="L1" s="45" t="s">
        <v>17</v>
      </c>
      <c r="M1" s="45" t="s">
        <v>17</v>
      </c>
      <c r="N1" s="45" t="s">
        <v>17</v>
      </c>
      <c r="O1" s="45" t="s">
        <v>17</v>
      </c>
      <c r="P1" s="45" t="s">
        <v>17</v>
      </c>
      <c r="Q1" s="45" t="s">
        <v>17</v>
      </c>
      <c r="R1" s="45" t="s">
        <v>17</v>
      </c>
      <c r="S1" s="45" t="s">
        <v>17</v>
      </c>
      <c r="T1" s="45" t="s">
        <v>17</v>
      </c>
      <c r="V1" s="45" t="s">
        <v>17</v>
      </c>
      <c r="W1" s="45" t="s">
        <v>17</v>
      </c>
      <c r="X1" s="45" t="s">
        <v>17</v>
      </c>
      <c r="Y1" s="45" t="s">
        <v>7</v>
      </c>
      <c r="Z1" s="45" t="s">
        <v>7</v>
      </c>
      <c r="AA1" s="45" t="s">
        <v>17</v>
      </c>
      <c r="AB1" s="45" t="s">
        <v>17</v>
      </c>
      <c r="AC1" s="45" t="s">
        <v>17</v>
      </c>
      <c r="AH1" s="45" t="s">
        <v>7</v>
      </c>
      <c r="AI1" s="45" t="s">
        <v>7</v>
      </c>
    </row>
    <row r="2" spans="1:35">
      <c r="A2" s="45" t="s">
        <v>7</v>
      </c>
      <c r="D2" s="45" t="s">
        <v>18</v>
      </c>
      <c r="E2" s="45" t="s">
        <v>88</v>
      </c>
    </row>
    <row r="3" spans="1:35">
      <c r="A3" s="45" t="s">
        <v>7</v>
      </c>
      <c r="D3" s="45" t="s">
        <v>21</v>
      </c>
      <c r="E3" s="45" t="s">
        <v>19</v>
      </c>
      <c r="F3" s="45" t="s">
        <v>20</v>
      </c>
      <c r="G3" s="45" t="s">
        <v>22</v>
      </c>
      <c r="H3" s="45" t="s">
        <v>42</v>
      </c>
      <c r="I3" s="45" t="s">
        <v>23</v>
      </c>
    </row>
    <row r="4" spans="1:35">
      <c r="A4" s="45" t="s">
        <v>7</v>
      </c>
      <c r="C4" s="45" t="s">
        <v>11</v>
      </c>
      <c r="D4" s="45" t="s">
        <v>89</v>
      </c>
      <c r="E4" s="45" t="s">
        <v>90</v>
      </c>
      <c r="F4" s="45" t="s">
        <v>46</v>
      </c>
      <c r="G4" s="45" t="s">
        <v>24</v>
      </c>
      <c r="H4" s="45" t="s">
        <v>91</v>
      </c>
    </row>
    <row r="5" spans="1:35">
      <c r="A5" s="45" t="s">
        <v>7</v>
      </c>
      <c r="C5" s="45" t="s">
        <v>10</v>
      </c>
      <c r="D5" s="45" t="s">
        <v>92</v>
      </c>
      <c r="E5" s="45" t="s">
        <v>93</v>
      </c>
      <c r="F5" s="45" t="s">
        <v>47</v>
      </c>
      <c r="G5" s="45" t="s">
        <v>24</v>
      </c>
      <c r="H5" s="45" t="s">
        <v>91</v>
      </c>
      <c r="I5" s="45" t="s">
        <v>94</v>
      </c>
    </row>
    <row r="6" spans="1:35">
      <c r="A6" s="45" t="s">
        <v>7</v>
      </c>
      <c r="C6" s="45" t="s">
        <v>36</v>
      </c>
      <c r="D6" s="45" t="s">
        <v>95</v>
      </c>
      <c r="E6" s="45" t="s">
        <v>96</v>
      </c>
      <c r="F6" s="45" t="s">
        <v>47</v>
      </c>
      <c r="G6" s="45" t="s">
        <v>24</v>
      </c>
      <c r="H6" s="45" t="s">
        <v>91</v>
      </c>
      <c r="I6" s="45" t="s">
        <v>97</v>
      </c>
    </row>
    <row r="7" spans="1:35">
      <c r="A7" s="45" t="s">
        <v>7</v>
      </c>
    </row>
    <row r="8" spans="1:35">
      <c r="A8" s="45" t="s">
        <v>7</v>
      </c>
    </row>
    <row r="9" spans="1:35">
      <c r="A9" s="45" t="s">
        <v>7</v>
      </c>
    </row>
    <row r="10" spans="1:35">
      <c r="A10" s="45" t="s">
        <v>7</v>
      </c>
    </row>
    <row r="11" spans="1:35">
      <c r="A11" s="45" t="s">
        <v>7</v>
      </c>
      <c r="C11" s="45" t="s">
        <v>26</v>
      </c>
      <c r="E11" s="45" t="s">
        <v>98</v>
      </c>
    </row>
    <row r="12" spans="1:35">
      <c r="A12" s="45" t="s">
        <v>7</v>
      </c>
      <c r="C12" s="45" t="s">
        <v>27</v>
      </c>
      <c r="E12" s="45" t="s">
        <v>99</v>
      </c>
    </row>
    <row r="13" spans="1:35">
      <c r="A13" s="45" t="s">
        <v>7</v>
      </c>
      <c r="C13" s="45" t="s">
        <v>37</v>
      </c>
      <c r="E13" s="45" t="s">
        <v>100</v>
      </c>
    </row>
    <row r="14" spans="1:35">
      <c r="A14" s="45" t="s">
        <v>7</v>
      </c>
      <c r="C14" s="45" t="s">
        <v>35</v>
      </c>
      <c r="E14" s="45" t="s">
        <v>101</v>
      </c>
    </row>
    <row r="15" spans="1:35">
      <c r="A15" s="45" t="s">
        <v>7</v>
      </c>
      <c r="C15" s="45" t="s">
        <v>38</v>
      </c>
      <c r="E15" s="45" t="s">
        <v>102</v>
      </c>
    </row>
    <row r="16" spans="1:35">
      <c r="A16" s="45" t="s">
        <v>7</v>
      </c>
      <c r="C16" s="45" t="s">
        <v>39</v>
      </c>
      <c r="E16" s="45" t="s">
        <v>103</v>
      </c>
    </row>
    <row r="17" spans="1:42">
      <c r="A17" s="45" t="s">
        <v>7</v>
      </c>
    </row>
    <row r="18" spans="1:42">
      <c r="A18" s="45" t="s">
        <v>7</v>
      </c>
    </row>
    <row r="21" spans="1:42">
      <c r="K21" s="45" t="s">
        <v>40</v>
      </c>
    </row>
    <row r="23" spans="1:42">
      <c r="E23" s="45" t="s">
        <v>28</v>
      </c>
      <c r="K23" s="45" t="s">
        <v>54</v>
      </c>
      <c r="L23" s="45" t="s">
        <v>55</v>
      </c>
      <c r="M23" s="45" t="s">
        <v>14</v>
      </c>
      <c r="N23" s="45" t="s">
        <v>15</v>
      </c>
      <c r="O23" s="45" t="s">
        <v>29</v>
      </c>
      <c r="P23" s="45" t="s">
        <v>56</v>
      </c>
      <c r="Q23" s="45" t="s">
        <v>57</v>
      </c>
      <c r="R23" s="45" t="s">
        <v>30</v>
      </c>
      <c r="S23" s="45" t="s">
        <v>34</v>
      </c>
      <c r="T23" s="45" t="s">
        <v>32</v>
      </c>
      <c r="U23" s="45" t="s">
        <v>223</v>
      </c>
      <c r="V23" s="45" t="s">
        <v>16</v>
      </c>
      <c r="W23" s="45" t="s">
        <v>58</v>
      </c>
      <c r="X23" s="45" t="s">
        <v>59</v>
      </c>
      <c r="Y23" s="45" t="s">
        <v>33</v>
      </c>
      <c r="Z23" s="45" t="s">
        <v>12</v>
      </c>
      <c r="AA23" s="45" t="s">
        <v>31</v>
      </c>
      <c r="AB23" s="45" t="s">
        <v>13</v>
      </c>
      <c r="AC23" s="45" t="s">
        <v>49</v>
      </c>
      <c r="AD23" s="45" t="s">
        <v>50</v>
      </c>
      <c r="AE23" s="45" t="s">
        <v>60</v>
      </c>
      <c r="AF23" s="45" t="s">
        <v>61</v>
      </c>
      <c r="AG23" s="45" t="s">
        <v>62</v>
      </c>
      <c r="AH23" s="45" t="s">
        <v>63</v>
      </c>
      <c r="AI23" s="45" t="s">
        <v>64</v>
      </c>
      <c r="AJ23" s="45" t="s">
        <v>65</v>
      </c>
      <c r="AK23" s="45" t="s">
        <v>66</v>
      </c>
      <c r="AL23" s="45" t="s">
        <v>67</v>
      </c>
      <c r="AM23" s="45" t="s">
        <v>68</v>
      </c>
      <c r="AN23" s="45" t="s">
        <v>69</v>
      </c>
      <c r="AO23" s="45" t="s">
        <v>70</v>
      </c>
      <c r="AP23" s="45" t="s">
        <v>71</v>
      </c>
    </row>
    <row r="24" spans="1:42">
      <c r="B24" s="45" t="s">
        <v>104</v>
      </c>
      <c r="C24" s="45" t="s">
        <v>43</v>
      </c>
      <c r="E24" s="45" t="s">
        <v>105</v>
      </c>
      <c r="K24" s="45" t="s">
        <v>106</v>
      </c>
      <c r="L24" s="45" t="s">
        <v>107</v>
      </c>
      <c r="M24" s="45" t="s">
        <v>108</v>
      </c>
      <c r="N24" s="45" t="s">
        <v>109</v>
      </c>
      <c r="O24" s="45" t="s">
        <v>110</v>
      </c>
      <c r="P24" s="45" t="s">
        <v>111</v>
      </c>
      <c r="R24" s="45" t="s">
        <v>112</v>
      </c>
      <c r="S24" s="45" t="s">
        <v>113</v>
      </c>
      <c r="T24" s="45" t="s">
        <v>114</v>
      </c>
      <c r="U24" s="45" t="s">
        <v>224</v>
      </c>
      <c r="V24" s="45" t="s">
        <v>115</v>
      </c>
      <c r="W24" s="45" t="s">
        <v>116</v>
      </c>
      <c r="X24" s="45" t="s">
        <v>225</v>
      </c>
      <c r="Y24" s="45" t="s">
        <v>117</v>
      </c>
      <c r="Z24" s="45" t="s">
        <v>118</v>
      </c>
      <c r="AA24" s="45" t="s">
        <v>119</v>
      </c>
      <c r="AB24" s="45" t="s">
        <v>120</v>
      </c>
      <c r="AC24" s="45" t="s">
        <v>226</v>
      </c>
      <c r="AD24" s="45" t="s">
        <v>121</v>
      </c>
      <c r="AE24" s="45" t="s">
        <v>122</v>
      </c>
      <c r="AF24" s="45" t="s">
        <v>121</v>
      </c>
      <c r="AG24" s="45" t="s">
        <v>72</v>
      </c>
      <c r="AH24" s="45" t="s">
        <v>123</v>
      </c>
      <c r="AI24" s="45" t="s">
        <v>73</v>
      </c>
      <c r="AJ24" s="45" t="s">
        <v>74</v>
      </c>
      <c r="AK24" s="45" t="s">
        <v>124</v>
      </c>
      <c r="AL24" s="45" t="s">
        <v>125</v>
      </c>
      <c r="AM24" s="45" t="s">
        <v>126</v>
      </c>
      <c r="AN24" s="45" t="s">
        <v>127</v>
      </c>
      <c r="AO24" s="45" t="s">
        <v>128</v>
      </c>
      <c r="AP24" s="45" t="s">
        <v>129</v>
      </c>
    </row>
    <row r="25" spans="1:42">
      <c r="A25" s="45" t="s">
        <v>166</v>
      </c>
      <c r="B25" s="45" t="s">
        <v>130</v>
      </c>
      <c r="C25" s="45" t="s">
        <v>43</v>
      </c>
      <c r="E25" s="45" t="s">
        <v>236</v>
      </c>
      <c r="K25" s="45" t="s">
        <v>170</v>
      </c>
      <c r="L25" s="45" t="s">
        <v>171</v>
      </c>
      <c r="M25" s="45" t="s">
        <v>132</v>
      </c>
      <c r="N25" s="45" t="s">
        <v>133</v>
      </c>
      <c r="O25" s="45" t="s">
        <v>134</v>
      </c>
      <c r="P25" s="45" t="s">
        <v>172</v>
      </c>
      <c r="R25" s="45" t="s">
        <v>135</v>
      </c>
      <c r="S25" s="45" t="s">
        <v>136</v>
      </c>
      <c r="T25" s="45" t="s">
        <v>138</v>
      </c>
      <c r="U25" s="45" t="s">
        <v>145</v>
      </c>
      <c r="V25" s="45" t="s">
        <v>173</v>
      </c>
      <c r="W25" s="45" t="s">
        <v>174</v>
      </c>
      <c r="X25" s="45" t="s">
        <v>230</v>
      </c>
      <c r="Y25" s="45" t="s">
        <v>137</v>
      </c>
      <c r="Z25" s="45" t="s">
        <v>139</v>
      </c>
      <c r="AA25" s="45" t="s">
        <v>140</v>
      </c>
      <c r="AB25" s="45" t="s">
        <v>141</v>
      </c>
      <c r="AC25" s="45" t="s">
        <v>231</v>
      </c>
      <c r="AD25" s="45" t="s">
        <v>146</v>
      </c>
      <c r="AE25" s="45" t="s">
        <v>175</v>
      </c>
      <c r="AF25" s="45" t="s">
        <v>146</v>
      </c>
      <c r="AG25" s="45" t="s">
        <v>72</v>
      </c>
      <c r="AH25" s="45" t="s">
        <v>143</v>
      </c>
      <c r="AI25" s="45" t="s">
        <v>73</v>
      </c>
      <c r="AJ25" s="45" t="s">
        <v>74</v>
      </c>
      <c r="AK25" s="45" t="s">
        <v>176</v>
      </c>
      <c r="AL25" s="45" t="s">
        <v>177</v>
      </c>
      <c r="AM25" s="45" t="s">
        <v>178</v>
      </c>
      <c r="AN25" s="45" t="s">
        <v>179</v>
      </c>
      <c r="AO25" s="45" t="s">
        <v>180</v>
      </c>
      <c r="AP25" s="45" t="s">
        <v>181</v>
      </c>
    </row>
    <row r="26" spans="1:42">
      <c r="A26" s="45" t="s">
        <v>166</v>
      </c>
      <c r="B26" s="45" t="s">
        <v>147</v>
      </c>
      <c r="C26" s="45" t="s">
        <v>43</v>
      </c>
      <c r="E26" s="45" t="s">
        <v>237</v>
      </c>
      <c r="K26" s="45" t="s">
        <v>182</v>
      </c>
      <c r="L26" s="45" t="s">
        <v>183</v>
      </c>
      <c r="M26" s="45" t="s">
        <v>149</v>
      </c>
      <c r="N26" s="45" t="s">
        <v>150</v>
      </c>
      <c r="O26" s="45" t="s">
        <v>151</v>
      </c>
      <c r="P26" s="45" t="s">
        <v>184</v>
      </c>
      <c r="R26" s="45" t="s">
        <v>152</v>
      </c>
      <c r="S26" s="45" t="s">
        <v>153</v>
      </c>
      <c r="T26" s="45" t="s">
        <v>155</v>
      </c>
      <c r="U26" s="45" t="s">
        <v>162</v>
      </c>
      <c r="V26" s="45" t="s">
        <v>185</v>
      </c>
      <c r="W26" s="45" t="s">
        <v>186</v>
      </c>
      <c r="X26" s="45" t="s">
        <v>232</v>
      </c>
      <c r="Y26" s="45" t="s">
        <v>154</v>
      </c>
      <c r="Z26" s="45" t="s">
        <v>156</v>
      </c>
      <c r="AA26" s="45" t="s">
        <v>157</v>
      </c>
      <c r="AB26" s="45" t="s">
        <v>158</v>
      </c>
      <c r="AC26" s="45" t="s">
        <v>233</v>
      </c>
      <c r="AD26" s="45" t="s">
        <v>163</v>
      </c>
      <c r="AE26" s="45" t="s">
        <v>187</v>
      </c>
      <c r="AF26" s="45" t="s">
        <v>163</v>
      </c>
      <c r="AG26" s="45" t="s">
        <v>72</v>
      </c>
      <c r="AH26" s="45" t="s">
        <v>160</v>
      </c>
      <c r="AI26" s="45" t="s">
        <v>73</v>
      </c>
      <c r="AJ26" s="45" t="s">
        <v>74</v>
      </c>
      <c r="AK26" s="45" t="s">
        <v>188</v>
      </c>
      <c r="AL26" s="45" t="s">
        <v>189</v>
      </c>
      <c r="AM26" s="45" t="s">
        <v>190</v>
      </c>
      <c r="AN26" s="45" t="s">
        <v>191</v>
      </c>
      <c r="AO26" s="45" t="s">
        <v>192</v>
      </c>
      <c r="AP26" s="45" t="s">
        <v>193</v>
      </c>
    </row>
    <row r="27" spans="1:42">
      <c r="B27" s="45" t="s">
        <v>194</v>
      </c>
      <c r="C27" s="45" t="s">
        <v>44</v>
      </c>
      <c r="E27" s="45" t="s">
        <v>131</v>
      </c>
      <c r="K27" s="45" t="s">
        <v>195</v>
      </c>
      <c r="L27" s="45" t="s">
        <v>196</v>
      </c>
      <c r="M27" s="45" t="s">
        <v>197</v>
      </c>
      <c r="N27" s="45" t="s">
        <v>198</v>
      </c>
      <c r="O27" s="45" t="s">
        <v>199</v>
      </c>
      <c r="P27" s="45" t="s">
        <v>200</v>
      </c>
      <c r="Q27" s="45" t="s">
        <v>201</v>
      </c>
      <c r="S27" s="45" t="s">
        <v>200</v>
      </c>
      <c r="T27" s="45" t="s">
        <v>202</v>
      </c>
      <c r="V27" s="45" t="s">
        <v>203</v>
      </c>
      <c r="W27" s="45" t="s">
        <v>204</v>
      </c>
      <c r="X27" s="45" t="s">
        <v>238</v>
      </c>
      <c r="Y27" s="45" t="s">
        <v>205</v>
      </c>
      <c r="Z27" s="45" t="s">
        <v>239</v>
      </c>
      <c r="AA27" s="45" t="s">
        <v>206</v>
      </c>
      <c r="AB27" s="45" t="s">
        <v>240</v>
      </c>
      <c r="AC27" s="45" t="s">
        <v>207</v>
      </c>
    </row>
    <row r="28" spans="1:42">
      <c r="B28" s="45" t="s">
        <v>208</v>
      </c>
      <c r="C28" s="45" t="s">
        <v>45</v>
      </c>
      <c r="E28" s="45" t="s">
        <v>148</v>
      </c>
      <c r="K28" s="45" t="s">
        <v>209</v>
      </c>
      <c r="L28" s="45" t="s">
        <v>210</v>
      </c>
      <c r="M28" s="45" t="s">
        <v>211</v>
      </c>
      <c r="N28" s="45" t="s">
        <v>212</v>
      </c>
      <c r="O28" s="45" t="s">
        <v>213</v>
      </c>
      <c r="P28" s="45" t="s">
        <v>214</v>
      </c>
      <c r="Q28" s="45" t="s">
        <v>215</v>
      </c>
      <c r="S28" s="45" t="s">
        <v>214</v>
      </c>
      <c r="T28" s="45" t="s">
        <v>216</v>
      </c>
      <c r="V28" s="45" t="s">
        <v>217</v>
      </c>
      <c r="W28" s="45" t="s">
        <v>218</v>
      </c>
      <c r="X28" s="45" t="s">
        <v>241</v>
      </c>
      <c r="Y28" s="45" t="s">
        <v>219</v>
      </c>
      <c r="Z28" s="45" t="s">
        <v>242</v>
      </c>
      <c r="AA28" s="45" t="s">
        <v>220</v>
      </c>
      <c r="AB28" s="45" t="s">
        <v>243</v>
      </c>
      <c r="AC28" s="45" t="s">
        <v>221</v>
      </c>
    </row>
    <row r="30" spans="1:42">
      <c r="AB30" s="45" t="s">
        <v>244</v>
      </c>
      <c r="AC30" s="45" t="s">
        <v>245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0ED4D5FD59CD4794E2F0728A087569" ma:contentTypeVersion="17" ma:contentTypeDescription="Create a new document." ma:contentTypeScope="" ma:versionID="b10ad9f5e6dfe6355edc602dca3a6995">
  <xsd:schema xmlns:xsd="http://www.w3.org/2001/XMLSchema" xmlns:xs="http://www.w3.org/2001/XMLSchema" xmlns:p="http://schemas.microsoft.com/office/2006/metadata/properties" xmlns:ns1="http://schemas.microsoft.com/sharepoint/v3" xmlns:ns2="d728151f-8725-4358-a768-6e09303cb2ce" xmlns:ns3="debb4b68-e27c-48df-801e-aaa38dd90715" targetNamespace="http://schemas.microsoft.com/office/2006/metadata/properties" ma:root="true" ma:fieldsID="5ab8781b578ae5c262bf7c85e51f71ca" ns1:_="" ns2:_="" ns3:_="">
    <xsd:import namespace="http://schemas.microsoft.com/sharepoint/v3"/>
    <xsd:import namespace="d728151f-8725-4358-a768-6e09303cb2ce"/>
    <xsd:import namespace="debb4b68-e27c-48df-801e-aaa38dd9071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onth" minOccurs="0"/>
                <xsd:element ref="ns3:Contract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151f-8725-4358-a768-6e09303cb2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f4be6a-4b95-4816-95cb-c616a0b2621e}" ma:internalName="TaxCatchAll" ma:showField="CatchAllData" ma:web="d728151f-8725-4358-a768-6e09303c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b4b68-e27c-48df-801e-aaa38dd907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onth" ma:index="15" nillable="true" ma:displayName="Month" ma:format="Dropdown" ma:internalName="Month">
      <xsd:simpleType>
        <xsd:restriction base="dms:Choice">
          <xsd:enumeration value="Jan"/>
          <xsd:enumeration value="Feb"/>
          <xsd:enumeration value="Mar"/>
          <xsd:enumeration value="April"/>
        </xsd:restriction>
      </xsd:simpleType>
    </xsd:element>
    <xsd:element name="Contract" ma:index="16" nillable="true" ma:displayName="Contract" ma:description="Contract Type" ma:format="Dropdown" ma:internalName="Contract">
      <xsd:simpleType>
        <xsd:restriction base="dms:Choice">
          <xsd:enumeration value="GVT 18009"/>
          <xsd:enumeration value="GVT 23006"/>
          <xsd:enumeration value="GVT 9000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c179d3c-09b0-41cc-b58e-5d3bd1d53f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728151f-8725-4358-a768-6e09303cb2ce">W7NMRASTWERA-503339820-255386</_dlc_DocId>
    <Contract xmlns="debb4b68-e27c-48df-801e-aaa38dd90715" xsi:nil="true"/>
    <_ip_UnifiedCompliancePolicyUIAction xmlns="http://schemas.microsoft.com/sharepoint/v3" xsi:nil="true"/>
    <_dlc_DocIdUrl xmlns="d728151f-8725-4358-a768-6e09303cb2ce">
      <Url>https://uicasiancomputerservices.sharepoint.com/sites/FS_Operations/_layouts/15/DocIdRedir.aspx?ID=W7NMRASTWERA-503339820-255386</Url>
      <Description>W7NMRASTWERA-503339820-255386</Description>
    </_dlc_DocIdUrl>
    <_ip_UnifiedCompliancePolicyProperties xmlns="http://schemas.microsoft.com/sharepoint/v3" xsi:nil="true"/>
    <Month xmlns="debb4b68-e27c-48df-801e-aaa38dd90715" xsi:nil="true"/>
    <lcf76f155ced4ddcb4097134ff3c332f xmlns="debb4b68-e27c-48df-801e-aaa38dd90715">
      <Terms xmlns="http://schemas.microsoft.com/office/infopath/2007/PartnerControls"/>
    </lcf76f155ced4ddcb4097134ff3c332f>
    <TaxCatchAll xmlns="d728151f-8725-4358-a768-6e09303cb2ce" xsi:nil="true"/>
  </documentManagement>
</p:properties>
</file>

<file path=customXml/itemProps1.xml><?xml version="1.0" encoding="utf-8"?>
<ds:datastoreItem xmlns:ds="http://schemas.openxmlformats.org/officeDocument/2006/customXml" ds:itemID="{4644A630-1FF3-4D3E-BE15-AF634870C59F}"/>
</file>

<file path=customXml/itemProps2.xml><?xml version="1.0" encoding="utf-8"?>
<ds:datastoreItem xmlns:ds="http://schemas.openxmlformats.org/officeDocument/2006/customXml" ds:itemID="{3CA2205B-EC7A-4BC7-A81D-C954DA6353DF}"/>
</file>

<file path=customXml/itemProps3.xml><?xml version="1.0" encoding="utf-8"?>
<ds:datastoreItem xmlns:ds="http://schemas.openxmlformats.org/officeDocument/2006/customXml" ds:itemID="{091D922B-CA44-4391-990E-11D16F015CD5}"/>
</file>

<file path=customXml/itemProps4.xml><?xml version="1.0" encoding="utf-8"?>
<ds:datastoreItem xmlns:ds="http://schemas.openxmlformats.org/officeDocument/2006/customXml" ds:itemID="{045437DC-1400-4F10-876D-8F57D834C3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</vt:lpstr>
      <vt:lpstr>Data</vt:lpstr>
      <vt:lpstr>Customer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Trainer02</dc:creator>
  <cp:lastModifiedBy>Yeong Yuen Fun</cp:lastModifiedBy>
  <cp:lastPrinted>2020-03-16T07:52:19Z</cp:lastPrinted>
  <dcterms:created xsi:type="dcterms:W3CDTF">2017-04-18T02:36:09Z</dcterms:created>
  <dcterms:modified xsi:type="dcterms:W3CDTF">2026-03-05T07:18:37Z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esign Mode Active">
    <vt:bool>false</vt:bool>
  </property>
  <property fmtid="{D5CDD505-2E9C-101B-9397-08002B2CF9AE}" pid="3" name="Jet Reports Function Literals">
    <vt:lpwstr>,	;	,	{	}	[@[{0}]]	1033	18441</vt:lpwstr>
  </property>
  <property fmtid="{D5CDD505-2E9C-101B-9397-08002B2CF9AE}" pid="4" name="ContentTypeId">
    <vt:lpwstr>0x0101001C0ED4D5FD59CD4794E2F0728A087569</vt:lpwstr>
  </property>
  <property fmtid="{D5CDD505-2E9C-101B-9397-08002B2CF9AE}" pid="5" name="_dlc_DocIdItemGuid">
    <vt:lpwstr>b779726d-c119-416a-8f37-dcf6a7df4413</vt:lpwstr>
  </property>
</Properties>
</file>