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YUEN FUN\XLS\SHS MONTHLY REPORT\2025\"/>
    </mc:Choice>
  </mc:AlternateContent>
  <xr:revisionPtr revIDLastSave="0" documentId="8_{78F39227-FA32-4E9F-ADF2-7BE8D00C470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Customer Code" sheetId="89" r:id="rId3"/>
    <sheet name="Sheet1" sheetId="96" state="veryHidden" r:id="rId4"/>
    <sheet name="Sheet2" sheetId="97" state="veryHidden" r:id="rId5"/>
    <sheet name="Sheet3" sheetId="98" state="veryHidden" r:id="rId6"/>
    <sheet name="Sheet4" sheetId="99" state="veryHidden" r:id="rId7"/>
    <sheet name="Sheet5" sheetId="102" state="veryHidden" r:id="rId8"/>
    <sheet name="Sheet6" sheetId="103" state="veryHidden" r:id="rId9"/>
  </sheets>
  <definedNames>
    <definedName name="_xlnm._FilterDatabase" localSheetId="1" hidden="1">Data!$K$23:$AB$34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K24" i="2"/>
  <c r="L24" i="2"/>
  <c r="O24" i="2"/>
  <c r="P24" i="2"/>
  <c r="R24" i="2"/>
  <c r="S24" i="2"/>
  <c r="T24" i="2"/>
  <c r="U24" i="2"/>
  <c r="X24" i="2"/>
  <c r="Y24" i="2"/>
  <c r="Z24" i="2"/>
  <c r="AA24" i="2"/>
  <c r="AD24" i="2"/>
  <c r="AG24" i="2"/>
  <c r="AH24" i="2"/>
  <c r="E25" i="2"/>
  <c r="K25" i="2"/>
  <c r="L25" i="2"/>
  <c r="O25" i="2"/>
  <c r="P25" i="2"/>
  <c r="R25" i="2"/>
  <c r="S25" i="2"/>
  <c r="T25" i="2"/>
  <c r="U25" i="2"/>
  <c r="X25" i="2"/>
  <c r="Y25" i="2"/>
  <c r="Z25" i="2"/>
  <c r="AA25" i="2"/>
  <c r="AD25" i="2"/>
  <c r="AG25" i="2"/>
  <c r="AH25" i="2"/>
  <c r="AJ25" i="2"/>
  <c r="AK25" i="2"/>
  <c r="AL25" i="2"/>
  <c r="E26" i="2"/>
  <c r="K26" i="2"/>
  <c r="L26" i="2"/>
  <c r="O26" i="2"/>
  <c r="P26" i="2"/>
  <c r="R26" i="2"/>
  <c r="S26" i="2"/>
  <c r="T26" i="2"/>
  <c r="U26" i="2"/>
  <c r="X26" i="2"/>
  <c r="Y26" i="2"/>
  <c r="Z26" i="2"/>
  <c r="AA26" i="2"/>
  <c r="AD26" i="2"/>
  <c r="AG26" i="2"/>
  <c r="AH26" i="2"/>
  <c r="AL26" i="2"/>
  <c r="E27" i="2"/>
  <c r="K27" i="2"/>
  <c r="B27" i="2" s="1"/>
  <c r="L27" i="2"/>
  <c r="O27" i="2"/>
  <c r="P27" i="2"/>
  <c r="R27" i="2"/>
  <c r="S27" i="2"/>
  <c r="T27" i="2"/>
  <c r="U27" i="2"/>
  <c r="X27" i="2"/>
  <c r="Y27" i="2"/>
  <c r="Z27" i="2"/>
  <c r="AA27" i="2"/>
  <c r="AD27" i="2"/>
  <c r="AG27" i="2"/>
  <c r="AH27" i="2"/>
  <c r="AL27" i="2"/>
  <c r="E28" i="2"/>
  <c r="K28" i="2"/>
  <c r="L28" i="2"/>
  <c r="O28" i="2"/>
  <c r="P28" i="2"/>
  <c r="R28" i="2"/>
  <c r="S28" i="2"/>
  <c r="T28" i="2"/>
  <c r="U28" i="2"/>
  <c r="X28" i="2"/>
  <c r="Y28" i="2"/>
  <c r="Z28" i="2"/>
  <c r="AA28" i="2"/>
  <c r="AD28" i="2"/>
  <c r="AG28" i="2"/>
  <c r="AH28" i="2"/>
  <c r="AL28" i="2"/>
  <c r="E29" i="2"/>
  <c r="K29" i="2"/>
  <c r="L29" i="2"/>
  <c r="O29" i="2"/>
  <c r="P29" i="2"/>
  <c r="R29" i="2"/>
  <c r="S29" i="2"/>
  <c r="T29" i="2"/>
  <c r="U29" i="2"/>
  <c r="X29" i="2"/>
  <c r="Y29" i="2"/>
  <c r="Z29" i="2"/>
  <c r="AA29" i="2"/>
  <c r="AD29" i="2"/>
  <c r="AG29" i="2"/>
  <c r="AH29" i="2"/>
  <c r="AJ29" i="2"/>
  <c r="AK29" i="2"/>
  <c r="AL29" i="2"/>
  <c r="E30" i="2"/>
  <c r="K30" i="2"/>
  <c r="L30" i="2"/>
  <c r="O30" i="2"/>
  <c r="P30" i="2"/>
  <c r="R30" i="2"/>
  <c r="S30" i="2"/>
  <c r="T30" i="2"/>
  <c r="U30" i="2"/>
  <c r="X30" i="2"/>
  <c r="Y30" i="2"/>
  <c r="Z30" i="2"/>
  <c r="AA30" i="2"/>
  <c r="AD30" i="2"/>
  <c r="AG30" i="2"/>
  <c r="AH30" i="2"/>
  <c r="AL30" i="2"/>
  <c r="E31" i="2"/>
  <c r="K31" i="2"/>
  <c r="L31" i="2"/>
  <c r="O31" i="2"/>
  <c r="P31" i="2"/>
  <c r="R31" i="2"/>
  <c r="S31" i="2"/>
  <c r="T31" i="2"/>
  <c r="U31" i="2"/>
  <c r="X31" i="2"/>
  <c r="Y31" i="2"/>
  <c r="Z31" i="2"/>
  <c r="AA31" i="2"/>
  <c r="AD31" i="2"/>
  <c r="AG31" i="2"/>
  <c r="AH31" i="2"/>
  <c r="AL31" i="2"/>
  <c r="E32" i="2"/>
  <c r="K32" i="2"/>
  <c r="L32" i="2"/>
  <c r="O32" i="2"/>
  <c r="P32" i="2"/>
  <c r="R32" i="2"/>
  <c r="S32" i="2"/>
  <c r="T32" i="2"/>
  <c r="U32" i="2"/>
  <c r="X32" i="2"/>
  <c r="Y32" i="2"/>
  <c r="Z32" i="2"/>
  <c r="AA32" i="2"/>
  <c r="AD32" i="2"/>
  <c r="AG32" i="2"/>
  <c r="AH32" i="2"/>
  <c r="AL32" i="2"/>
  <c r="E33" i="2"/>
  <c r="K33" i="2"/>
  <c r="L33" i="2"/>
  <c r="M33" i="2"/>
  <c r="N33" i="2"/>
  <c r="O33" i="2"/>
  <c r="P33" i="2"/>
  <c r="Q33" i="2"/>
  <c r="S33" i="2"/>
  <c r="T33" i="2"/>
  <c r="V33" i="2"/>
  <c r="W33" i="2"/>
  <c r="X33" i="2"/>
  <c r="Y33" i="2"/>
  <c r="Z33" i="2"/>
  <c r="AA33" i="2"/>
  <c r="AB33" i="2"/>
  <c r="E34" i="2"/>
  <c r="K34" i="2"/>
  <c r="L34" i="2"/>
  <c r="M34" i="2"/>
  <c r="N34" i="2"/>
  <c r="O34" i="2"/>
  <c r="P34" i="2"/>
  <c r="Q34" i="2"/>
  <c r="S34" i="2"/>
  <c r="T34" i="2"/>
  <c r="V34" i="2"/>
  <c r="W34" i="2"/>
  <c r="X34" i="2"/>
  <c r="Y34" i="2"/>
  <c r="Z34" i="2"/>
  <c r="AA34" i="2"/>
  <c r="AB34" i="2"/>
  <c r="D5" i="1"/>
  <c r="B8" i="89"/>
  <c r="B7" i="89"/>
  <c r="E12" i="2"/>
  <c r="H6" i="2"/>
  <c r="H5" i="2"/>
  <c r="H4" i="2"/>
  <c r="E2" i="2"/>
  <c r="D30" i="1"/>
  <c r="D29" i="1"/>
  <c r="D14" i="1"/>
  <c r="D13" i="1"/>
  <c r="C13" i="1" s="1"/>
  <c r="E16" i="2" s="1"/>
  <c r="C12" i="1"/>
  <c r="E15" i="2" s="1"/>
  <c r="C11" i="1"/>
  <c r="E14" i="2" s="1"/>
  <c r="C10" i="1"/>
  <c r="E13" i="2" s="1"/>
  <c r="C5" i="1"/>
  <c r="C4" i="1"/>
  <c r="C3" i="1"/>
  <c r="C9" i="1" s="1"/>
  <c r="E11" i="2" s="1"/>
  <c r="B29" i="2" l="1"/>
  <c r="B32" i="2"/>
  <c r="B28" i="2"/>
  <c r="B30" i="2"/>
  <c r="B31" i="2"/>
  <c r="B25" i="2"/>
  <c r="B26" i="2"/>
  <c r="D5" i="2"/>
  <c r="I6" i="2"/>
  <c r="D4" i="2"/>
  <c r="E4" i="2" s="1"/>
  <c r="D6" i="2"/>
  <c r="I5" i="2"/>
  <c r="C8" i="1"/>
  <c r="E5" i="2" l="1"/>
  <c r="B33" i="2"/>
  <c r="B24" i="2"/>
  <c r="E6" i="2"/>
  <c r="B34" i="2" l="1"/>
</calcChain>
</file>

<file path=xl/sharedStrings.xml><?xml version="1.0" encoding="utf-8"?>
<sst xmlns="http://schemas.openxmlformats.org/spreadsheetml/2006/main" count="1171" uniqueCount="430">
  <si>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</si>
  <si>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</si>
  <si>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</si>
  <si>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</si>
  <si>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</si>
  <si>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</si>
  <si>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</si>
  <si>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</si>
  <si>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</si>
  <si>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</si>
  <si>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</si>
  <si>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</si>
  <si>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</si>
  <si>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</si>
  <si>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</si>
  <si>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</si>
  <si>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</si>
  <si>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</si>
  <si>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</si>
  <si>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</si>
  <si>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</si>
  <si>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</si>
  <si>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</si>
  <si>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</si>
  <si>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</si>
  <si>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</si>
  <si>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</si>
  <si>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</si>
  <si>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</si>
  <si>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</si>
  <si>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</si>
  <si>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</si>
  <si>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Cust Pur No</t>
  </si>
  <si>
    <t>Items</t>
  </si>
  <si>
    <t>Institution</t>
  </si>
  <si>
    <t>MSENR</t>
  </si>
  <si>
    <t>Script3</t>
  </si>
  <si>
    <t>ENR</t>
  </si>
  <si>
    <t>PRODTYPE</t>
  </si>
  <si>
    <t>BPCODE</t>
  </si>
  <si>
    <t>SINGHEALTH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</si>
  <si>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</si>
  <si>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</si>
  <si>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</si>
  <si>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</si>
  <si>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</si>
  <si>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</si>
  <si>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</si>
  <si>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</si>
  <si>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Unit Price</t>
  </si>
  <si>
    <t>Total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</si>
  <si>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99,100,101,102,103,104,105,106,107,108,109,110,111.112,113,114,115,116,117,123</t>
  </si>
  <si>
    <t>SHS</t>
  </si>
  <si>
    <t>Original Code  - before Mar 2020</t>
  </si>
  <si>
    <t>Month</t>
  </si>
  <si>
    <t>Year</t>
  </si>
  <si>
    <t>PCN</t>
  </si>
  <si>
    <t>Cluster</t>
  </si>
  <si>
    <t>Date of Licenses key Emailed</t>
  </si>
  <si>
    <t>Elasped days for delivery</t>
  </si>
  <si>
    <t>Bulk Purchase Discount %</t>
  </si>
  <si>
    <t>PO Value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</si>
  <si>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</si>
  <si>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</si>
  <si>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</si>
  <si>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</si>
  <si>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</si>
  <si>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</si>
  <si>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</si>
  <si>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</si>
  <si>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</si>
  <si>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</si>
  <si>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>UIC</t>
  </si>
  <si>
    <t xml:space="preserve"> </t>
  </si>
  <si>
    <t>Microsoft</t>
  </si>
  <si>
    <t>Singhealth</t>
  </si>
  <si>
    <t>Auto+Hide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</si>
  <si>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</si>
  <si>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</si>
  <si>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</si>
  <si>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</si>
  <si>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"</t>
  </si>
  <si>
    <t>="'MS'"</t>
  </si>
  <si>
    <t>=$D$13&amp;$D$14</t>
  </si>
  <si>
    <t>="'CI1077-SGD', 'CI1136-SGD', 'CI1137-SGD', 'CI1139-SGD', 'CI1146-SGD', 'CI1185-SGD', 'CI1190-SGD','CI1209-SGD','CI1232-SGD','CI1256-SGD','CN0015-SGD','CE0080-SGD','CS0084-SGD',"</t>
  </si>
  <si>
    <t>="'CS0085-SGD','CI1238-SGD','CI1190-SGD','CS0086-SGD','CS0507-SGD','CS0507-SGD','CI1261-SGD','CS0085-SGD','CC0128-SGD','CS0222-SGD','CS0226-SGD','CS0653-SGD','CI1277-SGD','CB0059-SGD''CS0678-SGD','CS0653-SGD','CS0276-SGD','CS0200-SGD'"</t>
  </si>
  <si>
    <t>="'CS0085-SGD','CS0086-SGD','CS0507-SGD','CS0507-SGD','CI1261-SGD','CS0085-SGD','CC0128-SGD','CS0222-SGD','CS0226-SGD','CS0653-SGD','CI1277-SGD'"</t>
  </si>
  <si>
    <t>Auto+Hide+HideSheet+Formulas=Sheet1,Sheet2+FormulasOnly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</si>
  <si>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</si>
  <si>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</si>
  <si>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</si>
  <si>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</si>
  <si>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</si>
  <si>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</si>
  <si>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</si>
  <si>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</si>
  <si>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</si>
  <si>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</si>
  <si>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</si>
  <si>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</si>
  <si>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</si>
  <si>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</si>
  <si>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</si>
  <si>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</si>
  <si>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</si>
  <si>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</si>
  <si>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</si>
  <si>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</si>
  <si>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</si>
  <si>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</si>
  <si>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</si>
  <si>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</si>
  <si>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</si>
  <si>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</si>
  <si>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</si>
  <si>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</si>
  <si>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</si>
  <si>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</si>
  <si>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</si>
  <si>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</si>
  <si>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</si>
  <si>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=IFERROR(NF($E24,"LINETOTAL"),"-")</t>
  </si>
  <si>
    <t>=IFERROR(NF($E24,"U_BPurDisc"),"-")</t>
  </si>
  <si>
    <t>=IFERROR(NF($E24,"ADDRESS2"),"-")</t>
  </si>
  <si>
    <t>=IFERROR(NF($E24,"ItemCode"),"-")</t>
  </si>
  <si>
    <t>=IFERROR(NF($E24,"ItemName"),"-")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</si>
  <si>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</si>
  <si>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</si>
  <si>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</si>
  <si>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</si>
  <si>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</si>
  <si>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</si>
  <si>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</si>
  <si>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</si>
  <si>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</si>
  <si>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</si>
  <si>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</si>
  <si>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</si>
  <si>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</si>
  <si>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</si>
  <si>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</si>
  <si>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</si>
  <si>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</si>
  <si>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=IFERROR(NF($E25,"ADDRESS2"),"-")</t>
  </si>
  <si>
    <t>=IFERROR(NF($E25,"U_PODATE"),"-")</t>
  </si>
  <si>
    <t>=IFERROR(NF($E25,"U_PONO"),"-")</t>
  </si>
  <si>
    <t>=IFERROR(NF($E25,"LINETOTAL"),"-")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</si>
  <si>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</si>
  <si>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</si>
  <si>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</si>
  <si>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</si>
  <si>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</si>
  <si>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</si>
  <si>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</si>
  <si>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</si>
  <si>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</si>
  <si>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</si>
  <si>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</si>
  <si>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</si>
  <si>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</si>
  <si>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=IFERROR(NF($E26,"ADDRESS2"),"-")</t>
  </si>
  <si>
    <t>=IFERROR(NF($E26,"U_PODATE"),"-")</t>
  </si>
  <si>
    <t>=IFERROR(NF($E26,"U_PONO"),"-")</t>
  </si>
  <si>
    <t>=IFERROR(NF($E26,"LINETOTAL"),"-")</t>
  </si>
  <si>
    <t>=SUBTOTAL(9,AB24:AB27)</t>
  </si>
  <si>
    <t>Auto+Hide+Values+Formulas=Sheet3,Sheet4+FormulasOnly</t>
  </si>
  <si>
    <t>Auto</t>
  </si>
  <si>
    <t>Auto+Hide+HideSheet+Formulas=Sheet5,Sheet1,Sheet2</t>
  </si>
  <si>
    <t>Auto+Hide+HideSheet+Formulas=Sheet5,Sheet1,Sheet2+FormulasOnly</t>
  </si>
  <si>
    <t>Auto+Hide+Values+Formulas=Sheet6,Sheet3,Sheet4</t>
  </si>
  <si>
    <t>=MONTH(N25)</t>
  </si>
  <si>
    <t>=YEAR(N25)</t>
  </si>
  <si>
    <t>=IFERROR(NF($E25,"U_MSPCN"),"-")</t>
  </si>
  <si>
    <t>=IFERROR(NF($E25,"U_PODate"),"-")</t>
  </si>
  <si>
    <t>=IFERROR(NF($E25,"DOCdate"),"-")</t>
  </si>
  <si>
    <t>=IFERROR(NF($E25,"U_BPurDisc"),"-")</t>
  </si>
  <si>
    <t>=IFERROR(NF($E25,"ItemCode"),"-")</t>
  </si>
  <si>
    <t>=IFERROR(NF($E25,"ItemName"),"-")</t>
  </si>
  <si>
    <t>=IFERROR(NF($E25,"U_SWSub"),"-")</t>
  </si>
  <si>
    <t>=IFERROR(NF($E25,"U_LicComDt"),"-")</t>
  </si>
  <si>
    <t>=IFERROR(NF($E25,"U_LicEndDt"),"-")</t>
  </si>
  <si>
    <t>=IFERROR(NF($E25,"Comments"),"-")</t>
  </si>
  <si>
    <t>=MONTH(N26)</t>
  </si>
  <si>
    <t>=YEAR(N26)</t>
  </si>
  <si>
    <t>=IFERROR(NF($E26,"U_MSPCN"),"-")</t>
  </si>
  <si>
    <t>=IFERROR(NF($E26,"U_PODate"),"-")</t>
  </si>
  <si>
    <t>=IFERROR(NF($E26,"DOCdate"),"-")</t>
  </si>
  <si>
    <t>=IFERROR(NF($E26,"U_BPurDisc"),"-")</t>
  </si>
  <si>
    <t>=IFERROR(NF($E26,"ItemCode"),"-")</t>
  </si>
  <si>
    <t>=IFERROR(NF($E26,"ItemName"),"-")</t>
  </si>
  <si>
    <t>=IFERROR(NF($E26,"U_SWSub"),"-")</t>
  </si>
  <si>
    <t>=IFERROR(NF($E26,"U_LicComDt"),"-")</t>
  </si>
  <si>
    <t>=IFERROR(NF($E26,"U_LicEndDt"),"-")</t>
  </si>
  <si>
    <t>=IFERROR(NF($E26,"Comments"),"-")</t>
  </si>
  <si>
    <t>=IF(K27="","Hide","Show")</t>
  </si>
  <si>
    <t>=IFERROR(NF($E27,"DOCNUM"),"-")</t>
  </si>
  <si>
    <t>=IFERROR(NF($E27,"DOCDATE"),"-")</t>
  </si>
  <si>
    <t>=IFERROR(NF($E27,"U_MSENR"),"-")</t>
  </si>
  <si>
    <t>=IFERROR(NF($E27,"CARDCODE"),"-")</t>
  </si>
  <si>
    <t>=IFERROR(NF($E27,"CARDNAME"),"-")</t>
  </si>
  <si>
    <t>=IFERROR(NF($E27,"ITEMCODE"),"-")</t>
  </si>
  <si>
    <t>=IFERROR(NF($E27,"U_CUSTREF"),"-")</t>
  </si>
  <si>
    <t>=IFERROR(NF($E27,"ITEMNAME"),"-")</t>
  </si>
  <si>
    <t>=IFERROR(NF($E27,"MEMO"),"-")</t>
  </si>
  <si>
    <t>=IFERROR(NF($E27,"QUANTITY"),"-")</t>
  </si>
  <si>
    <t>=IFERROR(NF($E27,"ADDRESS2"),"-")</t>
  </si>
  <si>
    <t>=IFERROR(NF($E27,"U_PONO"),"-")</t>
  </si>
  <si>
    <t>=IFERROR(NF($E27,"LINETOTAL"),"-")</t>
  </si>
  <si>
    <t>=IF(K28="","Hide","Show")</t>
  </si>
  <si>
    <t>=IFERROR(NF($E28,"DOCNUM"),"-")</t>
  </si>
  <si>
    <t>=IFERROR(NF($E28,"DOCDATE"),"-")</t>
  </si>
  <si>
    <t>=IFERROR(NF($E28,"U_MSENR"),"-")</t>
  </si>
  <si>
    <t>=IFERROR(NF($E28,"CARDCODE"),"-")</t>
  </si>
  <si>
    <t>=IFERROR(NF($E28,"CARDNAME"),"-")</t>
  </si>
  <si>
    <t>=IFERROR(NF($E28,"ITEMCODE"),"-")</t>
  </si>
  <si>
    <t>=IFERROR(NF($E28,"U_CUSTREF"),"-")</t>
  </si>
  <si>
    <t>=IFERROR(NF($E28,"ITEMNAME"),"-")</t>
  </si>
  <si>
    <t>=IFERROR(NF($E28,"MEMO"),"-")</t>
  </si>
  <si>
    <t>=IFERROR(NF($E28,"QUANTITY"),"-")</t>
  </si>
  <si>
    <t>=IFERROR(NF($E28,"ADDRESS2"),"-")</t>
  </si>
  <si>
    <t>=IFERROR(NF($E28,"U_PONO"),"-")</t>
  </si>
  <si>
    <t>=IFERROR(NF($E28,"LINETOTAL"),"-")</t>
  </si>
  <si>
    <t>Auto+Hide+Values+Formulas=Sheet6,Sheet3,Sheet4+FormulasOnly</t>
  </si>
  <si>
    <t>PO NO</t>
  </si>
  <si>
    <t>=IFERROR(NF($E24,"U_PONO"),"-")</t>
  </si>
  <si>
    <t>=SUM(N24-V24)</t>
  </si>
  <si>
    <t>=IFERROR(AD24/AB24,0)</t>
  </si>
  <si>
    <t>=IFERROR(AC25/W25,0)</t>
  </si>
  <si>
    <t>=IFERROR(AC26/W26,0)</t>
  </si>
  <si>
    <t>=SUBTOTAL(9,AC24:AC27)</t>
  </si>
  <si>
    <t>=SUM(N25-V25)</t>
  </si>
  <si>
    <t>=IFERROR(AD25/AB25,0)</t>
  </si>
  <si>
    <t>=SUM(N26-V26)</t>
  </si>
  <si>
    <t>=IFERROR(AD26/AB26,0)</t>
  </si>
  <si>
    <t>=MONTH(N27)</t>
  </si>
  <si>
    <t>=YEAR(N27)</t>
  </si>
  <si>
    <t>=IFERROR(NF($E27,"U_MSPCN"),"-")</t>
  </si>
  <si>
    <t>=IFERROR(NF($E27,"U_PODate"),"-")</t>
  </si>
  <si>
    <t>=IFERROR(NF($E27,"DOCdate"),"-")</t>
  </si>
  <si>
    <t>=SUM(N27-V27)</t>
  </si>
  <si>
    <t>=IFERROR(AD27/AB27,0)</t>
  </si>
  <si>
    <t>=IFERROR(NF($E27,"U_BPurDisc"),"-")</t>
  </si>
  <si>
    <t>=IFERROR(NF($E27,"ItemCode"),"-")</t>
  </si>
  <si>
    <t>=IFERROR(NF($E27,"ItemName"),"-")</t>
  </si>
  <si>
    <t>=IFERROR(NF($E27,"U_SWSub"),"-")</t>
  </si>
  <si>
    <t>=IFERROR(NF($E27,"U_LicComDt"),"-")</t>
  </si>
  <si>
    <t>=IFERROR(NF($E27,"U_LicEndDt"),"-")</t>
  </si>
  <si>
    <t>=IFERROR(NF($E27,"Comments"),"-")</t>
  </si>
  <si>
    <t>=MONTH(N28)</t>
  </si>
  <si>
    <t>=YEAR(N28)</t>
  </si>
  <si>
    <t>=IFERROR(NF($E28,"U_MSPCN"),"-")</t>
  </si>
  <si>
    <t>=IFERROR(NF($E28,"U_PODate"),"-")</t>
  </si>
  <si>
    <t>=IFERROR(NF($E28,"DOCdate"),"-")</t>
  </si>
  <si>
    <t>=SUM(N28-V28)</t>
  </si>
  <si>
    <t>=IFERROR(AD28/AB28,0)</t>
  </si>
  <si>
    <t>=IFERROR(NF($E28,"U_BPurDisc"),"-")</t>
  </si>
  <si>
    <t>=IFERROR(NF($E28,"ItemCode"),"-")</t>
  </si>
  <si>
    <t>=IFERROR(NF($E28,"ItemName"),"-")</t>
  </si>
  <si>
    <t>=IFERROR(NF($E28,"U_SWSub"),"-")</t>
  </si>
  <si>
    <t>=IFERROR(NF($E28,"U_LicComDt"),"-")</t>
  </si>
  <si>
    <t>=IFERROR(NF($E28,"U_LicEndDt"),"-")</t>
  </si>
  <si>
    <t>=IFERROR(NF($E28,"Comments"),"-")</t>
  </si>
  <si>
    <t>=IF(K29="","Hide","Show")</t>
  </si>
  <si>
    <t>=MONTH(N29)</t>
  </si>
  <si>
    <t>=YEAR(N29)</t>
  </si>
  <si>
    <t>=IFERROR(NF($E29,"DOCNUM"),"-")</t>
  </si>
  <si>
    <t>=IFERROR(NF($E29,"DOCDATE"),"-")</t>
  </si>
  <si>
    <t>=IFERROR(NF($E29,"U_MSENR"),"-")</t>
  </si>
  <si>
    <t>=IFERROR(NF($E29,"U_MSPCN"),"-")</t>
  </si>
  <si>
    <t>=IFERROR(NF($E29,"CARDCODE"),"-")</t>
  </si>
  <si>
    <t>=IFERROR(NF($E29,"CARDNAME"),"-")</t>
  </si>
  <si>
    <t>=IFERROR(NF($E29,"U_CUSTREF"),"-")</t>
  </si>
  <si>
    <t>=IFERROR(NF($E29,"U_PONO"),"-")</t>
  </si>
  <si>
    <t>=IFERROR(NF($E29,"U_PODate"),"-")</t>
  </si>
  <si>
    <t>=IFERROR(NF($E29,"DOCdate"),"-")</t>
  </si>
  <si>
    <t>=SUM(N29-V29)</t>
  </si>
  <si>
    <t>=IFERROR(NF($E29,"ITEMCODE"),"-")</t>
  </si>
  <si>
    <t>=IFERROR(NF($E29,"ITEMNAME"),"-")</t>
  </si>
  <si>
    <t>=IFERROR(NF($E29,"MEMO"),"-")</t>
  </si>
  <si>
    <t>=IFERROR(NF($E29,"QUANTITY"),"-")</t>
  </si>
  <si>
    <t>=IFERROR(AD29/AB29,0)</t>
  </si>
  <si>
    <t>=IFERROR(NF($E29,"LINETOTAL"),"-")</t>
  </si>
  <si>
    <t>=IFERROR(NF($E29,"U_BPurDisc"),"-")</t>
  </si>
  <si>
    <t>=IFERROR(NF($E29,"ADDRESS2"),"-")</t>
  </si>
  <si>
    <t>=IFERROR(NF($E29,"ItemCode"),"-")</t>
  </si>
  <si>
    <t>=IFERROR(NF($E29,"ItemName"),"-")</t>
  </si>
  <si>
    <t>=IFERROR(NF($E29,"U_SWSub"),"-")</t>
  </si>
  <si>
    <t>=IFERROR(NF($E29,"U_LicComDt"),"-")</t>
  </si>
  <si>
    <t>=IFERROR(NF($E29,"U_LicEndDt"),"-")</t>
  </si>
  <si>
    <t>=IFERROR(NF($E29,"Comments"),"-")</t>
  </si>
  <si>
    <t>=IF(K30="","Hide","Show")</t>
  </si>
  <si>
    <t>=MONTH(N30)</t>
  </si>
  <si>
    <t>=YEAR(N30)</t>
  </si>
  <si>
    <t>=IFERROR(NF($E30,"DOCNUM"),"-")</t>
  </si>
  <si>
    <t>=IFERROR(NF($E30,"DOCDATE"),"-")</t>
  </si>
  <si>
    <t>=IFERROR(NF($E30,"U_MSENR"),"-")</t>
  </si>
  <si>
    <t>=IFERROR(NF($E30,"U_MSPCN"),"-")</t>
  </si>
  <si>
    <t>=IFERROR(NF($E30,"CARDCODE"),"-")</t>
  </si>
  <si>
    <t>=IFERROR(NF($E30,"CARDNAME"),"-")</t>
  </si>
  <si>
    <t>=IFERROR(NF($E30,"U_CUSTREF"),"-")</t>
  </si>
  <si>
    <t>=IFERROR(NF($E30,"U_PONO"),"-")</t>
  </si>
  <si>
    <t>=IFERROR(NF($E30,"U_PODate"),"-")</t>
  </si>
  <si>
    <t>=IFERROR(NF($E30,"DOCdate"),"-")</t>
  </si>
  <si>
    <t>=SUM(N30-V30)</t>
  </si>
  <si>
    <t>=IFERROR(NF($E30,"ITEMCODE"),"-")</t>
  </si>
  <si>
    <t>=IFERROR(NF($E30,"ITEMNAME"),"-")</t>
  </si>
  <si>
    <t>=IFERROR(NF($E30,"MEMO"),"-")</t>
  </si>
  <si>
    <t>=IFERROR(NF($E30,"QUANTITY"),"-")</t>
  </si>
  <si>
    <t>=IFERROR(AD30/AB30,0)</t>
  </si>
  <si>
    <t>=IFERROR(NF($E30,"LINETOTAL"),"-")</t>
  </si>
  <si>
    <t>=IFERROR(NF($E30,"U_BPurDisc"),"-")</t>
  </si>
  <si>
    <t>=IFERROR(NF($E30,"ADDRESS2"),"-")</t>
  </si>
  <si>
    <t>=IFERROR(NF($E30,"ItemCode"),"-")</t>
  </si>
  <si>
    <t>=IFERROR(NF($E30,"ItemName"),"-")</t>
  </si>
  <si>
    <t>=IFERROR(NF($E30,"U_SWSub"),"-")</t>
  </si>
  <si>
    <t>=IFERROR(NF($E30,"U_LicComDt"),"-")</t>
  </si>
  <si>
    <t>=IFERROR(NF($E30,"U_LicEndDt"),"-")</t>
  </si>
  <si>
    <t>=IFERROR(NF($E30,"Comments"),"-")</t>
  </si>
  <si>
    <t>=IF(K31="","Hide","Show")</t>
  </si>
  <si>
    <t>=MONTH(N31)</t>
  </si>
  <si>
    <t>=YEAR(N31)</t>
  </si>
  <si>
    <t>=IFERROR(NF($E31,"DOCNUM"),"-")</t>
  </si>
  <si>
    <t>=IFERROR(NF($E31,"DOCDATE"),"-")</t>
  </si>
  <si>
    <t>=IFERROR(NF($E31,"U_MSENR"),"-")</t>
  </si>
  <si>
    <t>=IFERROR(NF($E31,"U_MSPCN"),"-")</t>
  </si>
  <si>
    <t>=IFERROR(NF($E31,"CARDCODE"),"-")</t>
  </si>
  <si>
    <t>=IFERROR(NF($E31,"CARDNAME"),"-")</t>
  </si>
  <si>
    <t>=IFERROR(NF($E31,"U_CUSTREF"),"-")</t>
  </si>
  <si>
    <t>=IFERROR(NF($E31,"U_PONO"),"-")</t>
  </si>
  <si>
    <t>=IFERROR(NF($E31,"U_PODate"),"-")</t>
  </si>
  <si>
    <t>=IFERROR(NF($E31,"DOCdate"),"-")</t>
  </si>
  <si>
    <t>=SUM(N31-V31)</t>
  </si>
  <si>
    <t>=IFERROR(NF($E31,"ITEMCODE"),"-")</t>
  </si>
  <si>
    <t>=IFERROR(NF($E31,"ITEMNAME"),"-")</t>
  </si>
  <si>
    <t>=IFERROR(NF($E31,"MEMO"),"-")</t>
  </si>
  <si>
    <t>=IFERROR(NF($E31,"QUANTITY"),"-")</t>
  </si>
  <si>
    <t>=IFERROR(AD31/AB31,0)</t>
  </si>
  <si>
    <t>=IFERROR(NF($E31,"LINETOTAL"),"-")</t>
  </si>
  <si>
    <t>=IFERROR(NF($E31,"U_BPurDisc"),"-")</t>
  </si>
  <si>
    <t>=IFERROR(NF($E31,"ADDRESS2"),"-")</t>
  </si>
  <si>
    <t>=IFERROR(NF($E31,"ItemCode"),"-")</t>
  </si>
  <si>
    <t>=IFERROR(NF($E31,"ItemName"),"-")</t>
  </si>
  <si>
    <t>=IFERROR(NF($E31,"U_SWSub"),"-")</t>
  </si>
  <si>
    <t>=IFERROR(NF($E31,"U_LicComDt"),"-")</t>
  </si>
  <si>
    <t>=IFERROR(NF($E31,"U_LicEndDt"),"-")</t>
  </si>
  <si>
    <t>=IFERROR(NF($E31,"Comments"),"-")</t>
  </si>
  <si>
    <t>=IF(K32="","Hide","Show")</t>
  </si>
  <si>
    <t>=MONTH(N32)</t>
  </si>
  <si>
    <t>=YEAR(N32)</t>
  </si>
  <si>
    <t>=IFERROR(NF($E32,"DOCNUM"),"-")</t>
  </si>
  <si>
    <t>=IFERROR(NF($E32,"DOCDATE"),"-")</t>
  </si>
  <si>
    <t>=IFERROR(NF($E32,"U_MSENR"),"-")</t>
  </si>
  <si>
    <t>=IFERROR(NF($E32,"U_MSPCN"),"-")</t>
  </si>
  <si>
    <t>=IFERROR(NF($E32,"CARDCODE"),"-")</t>
  </si>
  <si>
    <t>=IFERROR(NF($E32,"CARDNAME"),"-")</t>
  </si>
  <si>
    <t>=IFERROR(NF($E32,"U_CUSTREF"),"-")</t>
  </si>
  <si>
    <t>=IFERROR(NF($E32,"U_PONO"),"-")</t>
  </si>
  <si>
    <t>=IFERROR(NF($E32,"U_PODate"),"-")</t>
  </si>
  <si>
    <t>=IFERROR(NF($E32,"DOCdate"),"-")</t>
  </si>
  <si>
    <t>=SUM(N32-V32)</t>
  </si>
  <si>
    <t>=IFERROR(NF($E32,"ITEMCODE"),"-")</t>
  </si>
  <si>
    <t>=IFERROR(NF($E32,"ITEMNAME"),"-")</t>
  </si>
  <si>
    <t>=IFERROR(NF($E32,"MEMO"),"-")</t>
  </si>
  <si>
    <t>=IFERROR(NF($E32,"QUANTITY"),"-")</t>
  </si>
  <si>
    <t>=IFERROR(AD32/AB32,0)</t>
  </si>
  <si>
    <t>=IFERROR(NF($E32,"LINETOTAL"),"-")</t>
  </si>
  <si>
    <t>=IFERROR(NF($E32,"U_BPurDisc"),"-")</t>
  </si>
  <si>
    <t>=IFERROR(NF($E32,"ADDRESS2"),"-")</t>
  </si>
  <si>
    <t>=IFERROR(NF($E32,"ItemCode"),"-")</t>
  </si>
  <si>
    <t>=IFERROR(NF($E32,"ItemName"),"-")</t>
  </si>
  <si>
    <t>=IFERROR(NF($E32,"U_SWSub"),"-")</t>
  </si>
  <si>
    <t>=IFERROR(NF($E32,"U_LicComDt"),"-")</t>
  </si>
  <si>
    <t>=IFERROR(NF($E32,"U_LicEndDt"),"-")</t>
  </si>
  <si>
    <t>=IFERROR(NF($E32,"Comments"),"-")</t>
  </si>
  <si>
    <t>=IF(K33="","Hide","Show")</t>
  </si>
  <si>
    <t>=IFERROR(NF($E33,"DOCNUM"),"-")</t>
  </si>
  <si>
    <t>=IFERROR(NF($E33,"DOCDATE"),"-")</t>
  </si>
  <si>
    <t>=IFERROR(NF($E33,"U_MSENR"),"-")</t>
  </si>
  <si>
    <t>=IFERROR(NF($E33,"CARDCODE"),"-")</t>
  </si>
  <si>
    <t>=IFERROR(NF($E33,"CARDNAME"),"-")</t>
  </si>
  <si>
    <t>=IFERROR(NF($E33,"U_CUSTREF"),"-")</t>
  </si>
  <si>
    <t>=IFERROR(NF($E33,"U_PONO"),"-")</t>
  </si>
  <si>
    <t>=IFERROR(NF($E33,"ITEMCODE"),"-")</t>
  </si>
  <si>
    <t>=IFERROR(NF($E33,"ITEMNAME"),"-")</t>
  </si>
  <si>
    <t>=IFERROR(NF($E33,"MEMO"),"-")</t>
  </si>
  <si>
    <t>=IFERROR(NF($E33,"QUANTITY"),"-")</t>
  </si>
  <si>
    <t>=IFERROR(NF($E33,"LINETOTAL"),"-")</t>
  </si>
  <si>
    <t>=IFERROR(NF($E33,"ADDRESS2"),"-")</t>
  </si>
  <si>
    <t>=IF(K34="","Hide","Show")</t>
  </si>
  <si>
    <t>=IFERROR(NF($E34,"DOCNUM"),"-")</t>
  </si>
  <si>
    <t>=IFERROR(NF($E34,"DOCDATE"),"-")</t>
  </si>
  <si>
    <t>=IFERROR(NF($E34,"U_MSENR"),"-")</t>
  </si>
  <si>
    <t>=IFERROR(NF($E34,"CARDCODE"),"-")</t>
  </si>
  <si>
    <t>=IFERROR(NF($E34,"CARDNAME"),"-")</t>
  </si>
  <si>
    <t>=IFERROR(NF($E34,"U_CUSTREF"),"-")</t>
  </si>
  <si>
    <t>=IFERROR(NF($E34,"U_PONO"),"-")</t>
  </si>
  <si>
    <t>=IFERROR(NF($E34,"ITEMCODE"),"-")</t>
  </si>
  <si>
    <t>=IFERROR(NF($E34,"ITEMNAME"),"-")</t>
  </si>
  <si>
    <t>=IFERROR(NF($E34,"MEMO"),"-")</t>
  </si>
  <si>
    <t>=IFERROR(NF($E34,"QUANTITY"),"-")</t>
  </si>
  <si>
    <t>=IFERROR(NF($E34,"LINETOTAL"),"-")</t>
  </si>
  <si>
    <t>=IFERROR(NF($E34,"ADDRESS2"),"-")</t>
  </si>
  <si>
    <t>="01/12/2025"</t>
  </si>
  <si>
    <t>="31/12/2025"</t>
  </si>
  <si>
    <t>="""UICACS"","""",""SQL="",""2=DOCNUM"",""33041047"",""14=CUSTREF"",""8725017848"",""14=U_CUSTREF"",""8725017848"",""15=DOCDATE"",""4/12/2025"",""15=TAXDATE"",""4/12/2025"",""14=CARDCODE"",""CI1232-SGD"",""14=CARDNAME"",""SINGAPORE GENERAL HOSPITAL PTE LTD"",""14=ITEMCODE"",""MSEP2-27380GLP"","""&amp;"14=ITEMNAME"",""MS OFFICE STANDARD 2024 SLNG LTSC"",""10=QUANTITY"",""1.000000"",""14=U_PONO"",""961155B"",""15=U_PODATE"",""2/12/2025"",""10=U_TLINTCOS"",""0.000000"",""2=SLPCODE"",""132"",""14=SLPNAME"",""E0001-CS"",""14=MEMO"",""WENDY KUM CHIOU SZE"",""14=CONTACTNAME"",""FINANCE DEPART"&amp;"MENT"",""10=LINETOTAL"",""428.120000"",""14=U_ENR"","""",""14=U_MSENR"",""S7138270"",""14=U_MSPCN"",""8E125DFC"",""14=ADDRESS2"",""TAN CHUN HOOI/SEAH WAIH KHUEN_x000D_SINGAPORE GENERAL HOSPITAL PTE LTD 10 HOSPITAL BOULEVARD SINGHEALTH TOWER SINGAPORE 168582_x000D_TAN CHUN HOOI/SEAH WAIH"&amp;" KHUEN_x000D_TEL: 84288255_x000D_FAX: _x000D_EMAIL: tan.chun.hooi@synapxe.sg"""</t>
  </si>
  <si>
    <t>="""UICACS"","""",""SQL="",""2=DOCNUM"",""33041179"",""14=CUSTREF"",""6725001473"",""14=U_CUSTREF"",""6725001473"",""15=DOCDATE"",""19/12/2025"",""15=TAXDATE"",""19/12/2025"",""14=CARDCODE"",""CI1256-SGD"",""14=CARDNAME"",""SINGAPORE HEALTH SERVICES PTE LTD"",""14=ITEMCODE"",""MS6VC-01288GLP"","&amp;"""14=ITEMNAME"",""MS WIN REMOTE DESKTOP SERVICES CAL SLNG LSA UCAL"",""10=QUANTITY"",""2.000000"",""14=U_PONO"",""961469"",""15=U_PODATE"",""18/12/2025"",""10=U_TLINTCOS"",""0.000000"",""2=SLPCODE"",""132"",""14=SLPNAME"",""E0001-CS"",""14=MEMO"",""WENDY KUM CHIOU SZE"",""14=CONTACTNAME"""&amp;",""FINANCE DEPARTMENT"",""10=LINETOTAL"",""497.980000"",""14=U_ENR"","""",""14=U_MSENR"",""S7138270"",""14=U_MSPCN"",""AD5A91AA"",""14=ADDRESS2"",""WYNN TAN_x000D_SINGAPORE HEALTH SERVICES PTE LTD 168 JALAN BUKIT MERAH SURBANA ONE #16-01 SINGAPORE 150168_x000D_WYNN TAN_x000D_TEL: _x000D_FAX: _x000D_EMAIL:"&amp;" WYNN.TAN@SYNAPXE.SG"""</t>
  </si>
  <si>
    <t>="""UICACS"","""",""SQL="",""2=DOCNUM"",""33041260"",""14=CUSTREF"",""6725000907"",""14=U_CUSTREF"",""6725000907"",""15=DOCDATE"",""30/12/2025"",""15=TAXDATE"",""30/12/2025"",""14=CARDCODE"",""CI1256-SGD"",""14=CARDNAME"",""SINGAPORE HEALTH SERVICES PTE LTD"",""14=ITEMCODE"",""MS7JQ-00355GLP"","&amp;"""14=ITEMNAME"",""MS SQL SERVER ENTERPRISE CORE SLNG SA 2L"",""10=QUANTITY"",""2.000000"",""14=U_PONO"",""961601"",""15=U_PODATE"",""26/12/2025"",""10=U_TLINTCOS"",""0.000000"",""2=SLPCODE"",""132"",""14=SLPNAME"",""E0001-CS"",""14=MEMO"",""WENDY KUM CHIOU SZE"",""14=CONTACTNAME"",""FINANC"&amp;"E DEPARTMENT"",""10=LINETOTAL"",""19795.960000"",""14=U_ENR"","""",""14=U_MSENR"",""S7138270"",""14=U_MSPCN"",""A8AA53F5"",""14=ADDRESS2"",""GOKUL SWEET LAL VIJILA_x000D_SINGAPORE HEALTH SERVICES PTE LTD 168 JALAN BUKIT MERAH SURBANA ONE, #16-01 SINGAPORE 150168_x000D_GOKUL SWEET LAL VI"&amp;"JILA_x000D_TEL: 93690736_x000D_FAX: _x000D_EMAIL: vijila.gokul@synapxe.sg"""</t>
  </si>
  <si>
    <t>="""UICACS"","""",""SQL="",""2=DOCNUM"",""33041265"",""14=CUSTREF"",""2825106883"",""14=U_CUSTREF"",""2825106883"",""15=DOCDATE"",""31/12/2025"",""15=TAXDATE"",""31/12/2025"",""14=CARDCODE"",""CS0507-SGD"",""14=CARDNAME"",""SENGKANG GENERAL HOSPITAL PTE. LTD."",""14=ITEMCODE"",""MS7NQ-00300GLP"&amp;""",""14=ITEMNAME"",""MS SQL SERVER STANDARD CORE SLNG LSA 2L"",""10=QUANTITY"",""4.000000"",""14=U_PONO"",""961640"",""15=U_PODATE"",""30/12/2025"",""10=U_TLINTCOS"",""0.000000"",""2=SLPCODE"",""127"",""14=SLPNAME"",""E0001-GH"",""14=MEMO"",""MANZY TOH GUAN HUI"",""14=CONTACTNAME"",""FSS AC"&amp;"COUNTS PAYABLE"",""10=LINETOTAL"",""23598.560000"",""14=U_ENR"","""",""14=U_MSENR"",""S7138270"",""14=U_MSPCN"",""BD18AB21"",""14=ADDRESS2"",""ARTHUR CHENG KIM CHAI_x000D_SENGKANG GENERAL HOSPITAL PTE. LTD. 110 SENGKANG EAST WAY  SINGAPORE 544886_x000D_ARTHUR CHENG KIM CHAI_x000D_TEL: 9786178"&amp;"3_x000D_FAX: _x000D_EMAIL: arthur.cheng.k.c@singhealth.com.sg"""</t>
  </si>
  <si>
    <t>="""UICACS"","""",""SQL="",""2=DOCNUM"",""33041273"",""14=CUSTREF"",""4630053721"",""14=U_CUSTREF"",""4630053721"",""15=DOCDATE"",""31/12/2025"",""15=TAXDATE"",""31/12/2025"",""14=CARDCODE"",""CI1136-SGD"",""14=CARDNAME"",""NATIONAL CANCER CENTRE OF SINGAPORE PTE LTD"",""14=ITEMCODE"",""MSEP2-"&amp;"25063GLP"",""14=ITEMNAME"",""MS WIN REMOTE DESKTOP SERVICES CAL 2025 SLNG UCAL"",""10=QUANTITY"",""220.000000"",""14=U_PONO"",""961639/A"",""15=U_PODATE"",""30/12/2025"",""10=U_TLINTCOS"",""0.000000"",""2=SLPCODE"",""127"",""14=SLPNAME"",""E0001-GH"",""14=MEMO"",""MANZY TOH GUAN HUI"",""1"&amp;"4=CONTACTNAME"",""ACCOUNTS PAYABLE"",""10=LINETOTAL"",""32958.200000"",""14=U_ENR"","""",""14=U_MSENR"",""S7138270"",""14=U_MSPCN"",""A8AA53F5"",""14=ADDRESS2"",""GAN SOON ANN_x000D_NATIONAL CANCER CENTRE, 30 HOSPITAL BOULEVARD B2-56 OFFICE SINGAPORE 168583_x000D_MR GAN SOON ANN/KEVIN SAW"&amp;"_x000D_TEL: 98503525/63266295_x000D_FAX: kevin.saw.s.k@singhealth.com.sg_x000D_EMAIL: trdgsa@nccs.com.sg"""</t>
  </si>
  <si>
    <t>="""UICACS"","""",""SQL="",""2=DOCNUM"",""33041273"",""14=CUSTREF"",""4630053721"",""14=U_CUSTREF"",""4630053721"",""15=DOCDATE"",""31/12/2025"",""15=TAXDATE"",""31/12/2025"",""14=CARDCODE"",""CI1136-SGD"",""14=CARDNAME"",""NATIONAL CANCER CENTRE OF SINGAPORE PTE LTD"",""14=ITEMCODE"",""MS7JQ-"&amp;"00353GLP"",""14=ITEMNAME"",""MS SQL SERVER ENTERPRISE CORE SLNG LSA 2L"",""10=QUANTITY"",""28.000000"",""14=U_PONO"",""961639/A"",""15=U_PODATE"",""30/12/2025"",""10=U_TLINTCOS"",""0.000000"",""2=SLPCODE"",""127"",""14=SLPNAME"",""E0001-GH"",""14=MEMO"",""MANZY TOH GUAN HUI"",""14=CONTACT"&amp;"NAME"",""ACCOUNTS PAYABLE"",""10=LINETOTAL"",""616719.600000"",""14=U_ENR"","""",""14=U_MSENR"",""S7138270"",""14=U_MSPCN"",""A8AA53F5"",""14=ADDRESS2"",""GAN SOON ANN_x000D_NATIONAL CANCER CENTRE, 30 HOSPITAL BOULEVARD B2-56 OFFICE SINGAPORE 168583_x000D_MR GAN SOON ANN/KEVIN SAW_x000D_TEL: 98"&amp;"503525/63266295_x000D_FAX: kevin.saw.s.k@singhealth.com.sg_x000D_EMAIL: trdgsa@nccs.com.sg"""</t>
  </si>
  <si>
    <t>="""UICACS"","""",""SQL="",""2=DOCNUM"",""33041273"",""14=CUSTREF"",""4630053721"",""14=U_CUSTREF"",""4630053721"",""15=DOCDATE"",""31/12/2025"",""15=TAXDATE"",""31/12/2025"",""14=CARDCODE"",""CI1136-SGD"",""14=CARDNAME"",""NATIONAL CANCER CENTRE OF SINGAPORE PTE LTD"",""14=ITEMCODE"",""MS9EA-"&amp;"00267GLP"",""14=ITEMNAME"",""MS WIN SERVER DC CORE SLNG LSA 2L"",""10=QUANTITY"",""96.000000"",""14=U_PONO"",""961639/A"",""15=U_PODATE"",""30/12/2025"",""10=U_TLINTCOS"",""0.000000"",""2=SLPCODE"",""127"",""14=SLPNAME"",""E0001-GH"",""14=MEMO"",""MANZY TOH GUAN HUI"",""14=CONTACTNAME"",""A"&amp;"CCOUNTS PAYABLE"",""10=LINETOTAL"",""118248.000000"",""14=U_ENR"","""",""14=U_MSENR"",""S7138270"",""14=U_MSPCN"",""A8AA53F5"",""14=ADDRESS2"",""GAN SOON ANN_x000D_NATIONAL CANCER CENTRE, 30 HOSPITAL BOULEVARD B2-56 OFFICE SINGAPORE 168583_x000D_MR GAN SOON ANN/KEVIN SAW_x000D_TEL: 98503525/6"&amp;"3266295_x000D_FAX: kevin.saw.s.k@singhealth.com.sg_x000D_EMAIL: trdgsa@nccs.com.sg"""</t>
  </si>
  <si>
    <t>="""UICACS"","""",""SQL="",""2=DOCNUM"",""33041273"",""14=CUSTREF"",""4630053721"",""14=U_CUSTREF"",""4630053721"",""15=DOCDATE"",""31/12/2025"",""15=TAXDATE"",""31/12/2025"",""14=CARDCODE"",""CI1136-SGD"",""14=CARDNAME"",""NATIONAL CANCER CENTRE OF SINGAPORE PTE LTD"",""14=ITEMCODE"",""MS9EA-"&amp;"00267GLP"",""14=ITEMNAME"",""MS WIN SERVER DC CORE SLNG LSA 2L"",""10=QUANTITY"",""72.000000"",""14=U_PONO"",""961639/A"",""15=U_PODATE"",""30/12/2025"",""10=U_TLINTCOS"",""0.000000"",""2=SLPCODE"",""127"",""14=SLPNAME"",""E0001-GH"",""14=MEMO"",""MANZY TOH GUAN HUI"",""14=CONTACTNAME"",""A"&amp;"CCOUNTS PAYABLE"",""10=LINETOTAL"",""89600.400000"",""14=U_ENR"","""",""14=U_MSENR"",""S7138270"",""14=U_MSPCN"",""A8AA53F5"",""14=ADDRESS2"",""GAN SOON ANN_x000D_NATIONAL CANCER CENTRE, 30 HOSPITAL BOULEVARD B2-56 OFFICE SINGAPORE 168583_x000D_MR GAN SOON ANN/KEVIN SAW_x000D_TEL: 98503525/63"&amp;"266295_x000D_FAX: kevin.saw.s.k@singhealth.com.sg_x000D_EMAIL: trdgsa@nccs.com.sg"""</t>
  </si>
  <si>
    <t>=IFERROR(NF($E33,"CONTACTNAME"),"-")</t>
  </si>
  <si>
    <t>=IFERROR(NF($E33,"U_PODATE"),"-")</t>
  </si>
  <si>
    <t>=IFERROR(AC33/W33,0)</t>
  </si>
  <si>
    <t>=IFERROR(NF($E34,"CONTACTNAME"),"-")</t>
  </si>
  <si>
    <t>=IFERROR(NF($E34,"U_PODATE"),"-")</t>
  </si>
  <si>
    <t>=IFERROR(AC34/W34,0)</t>
  </si>
  <si>
    <t>=SUBTOTAL(9,AB24:AB35)</t>
  </si>
  <si>
    <t>=SUBTOTAL(9,AC24:AC35)</t>
  </si>
  <si>
    <t>UIC PO NO</t>
  </si>
  <si>
    <t>LICENSE WITH SOFTWARE ASSURANCE</t>
  </si>
  <si>
    <t>01.01.2026</t>
  </si>
  <si>
    <t>31.10.2028</t>
  </si>
  <si>
    <t>PERPETUAL LICENSE</t>
  </si>
  <si>
    <t>30.06.2028</t>
  </si>
  <si>
    <t>ORDER LOADED AFTER 2 DEC 2025 AS COVERAGE  STARTS 1 JAN 2026</t>
  </si>
  <si>
    <t>SA RENEWAL</t>
  </si>
  <si>
    <t>01.11.2025</t>
  </si>
  <si>
    <t>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</si>
</sst>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sz val="11"/>
      <color theme="1"/>
      <name val="Calibri"/>
      <family val="2"/>
      <scheme val="minor"/>
    </font>
    <font>
      <b/>
      <sz val="12"/>
      <name val="Aharoni"/>
      <charset val="177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166" fontId="0" fillId="0" borderId="0" xfId="0" applyNumberFormat="1" applyAlignment="1">
      <alignment horizontal="center" vertical="top"/>
    </xf>
    <xf numFmtId="40" fontId="0" fillId="0" borderId="0" xfId="2" applyNumberFormat="1" applyFont="1" applyAlignment="1">
      <alignment vertical="top"/>
    </xf>
    <xf numFmtId="0" fontId="6" fillId="7" borderId="0" xfId="0" applyFont="1" applyFill="1" applyAlignment="1">
      <alignment vertical="top"/>
    </xf>
    <xf numFmtId="0" fontId="7" fillId="3" borderId="0" xfId="0" applyFont="1" applyFill="1" applyAlignment="1">
      <alignment horizontal="center" vertical="center"/>
    </xf>
    <xf numFmtId="167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14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0" fontId="7" fillId="3" borderId="0" xfId="0" applyNumberFormat="1" applyFont="1" applyFill="1" applyAlignment="1">
      <alignment horizontal="center" vertical="center"/>
    </xf>
    <xf numFmtId="165" fontId="7" fillId="3" borderId="0" xfId="2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40" fontId="0" fillId="0" borderId="0" xfId="2" applyNumberFormat="1" applyFont="1" applyAlignment="1">
      <alignment horizontal="center" vertical="top"/>
    </xf>
    <xf numFmtId="0" fontId="10" fillId="0" borderId="0" xfId="0" applyFont="1"/>
    <xf numFmtId="0" fontId="0" fillId="0" borderId="0" xfId="0" quotePrefix="1"/>
    <xf numFmtId="0" fontId="4" fillId="0" borderId="0" xfId="1" applyFont="1" applyAlignment="1">
      <alignment horizontal="center" vertical="top"/>
    </xf>
    <xf numFmtId="0" fontId="7" fillId="3" borderId="0" xfId="0" applyFont="1" applyFill="1" applyAlignment="1">
      <alignment horizontal="left" vertical="center" wrapText="1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zoomScale="106" zoomScaleNormal="106" workbookViewId="0">
      <selection activeCell="D14" sqref="D14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5" s="1" customFormat="1" hidden="1">
      <c r="A1" s="1" t="s">
        <v>167</v>
      </c>
      <c r="B1" s="1" t="s">
        <v>1</v>
      </c>
      <c r="C1" s="2" t="s">
        <v>2</v>
      </c>
      <c r="D1" s="1" t="s">
        <v>3</v>
      </c>
    </row>
    <row r="2" spans="1:5">
      <c r="B2" s="4" t="s">
        <v>18</v>
      </c>
      <c r="C2" s="4" t="s">
        <v>4</v>
      </c>
    </row>
    <row r="3" spans="1:5">
      <c r="A3" s="1" t="s">
        <v>0</v>
      </c>
      <c r="B3" s="4" t="s">
        <v>5</v>
      </c>
      <c r="C3" s="5" t="str">
        <f>"01/12/2025"</f>
        <v>01/12/2025</v>
      </c>
    </row>
    <row r="4" spans="1:5">
      <c r="A4" s="1" t="s">
        <v>0</v>
      </c>
      <c r="B4" s="4" t="s">
        <v>6</v>
      </c>
      <c r="C4" s="5" t="str">
        <f>"31/12/2025"</f>
        <v>31/12/2025</v>
      </c>
    </row>
    <row r="5" spans="1:5">
      <c r="A5" s="1" t="s">
        <v>0</v>
      </c>
      <c r="B5" s="4" t="s">
        <v>25</v>
      </c>
      <c r="C5" s="4" t="str">
        <f>"*"</f>
        <v>*</v>
      </c>
      <c r="D5" s="4" t="str">
        <f>"Lookup"</f>
        <v>Lookup</v>
      </c>
      <c r="E5" s="4" t="s">
        <v>51</v>
      </c>
    </row>
    <row r="8" spans="1:5">
      <c r="A8" s="1" t="s">
        <v>8</v>
      </c>
      <c r="C8" s="3" t="str">
        <f>TEXT($C$3,"dd/MMM/yyyy") &amp; ".." &amp; TEXT($C$4,"dd/MMM/yyyy")</f>
        <v>01/Dec/2025..31/Dec/2025</v>
      </c>
    </row>
    <row r="9" spans="1:5">
      <c r="A9" s="1" t="s">
        <v>9</v>
      </c>
      <c r="C9" s="3" t="str">
        <f>TEXT($C$3,"yyyyMMdd") &amp; ".." &amp; TEXT($C$4,"yyyyMMdd")</f>
        <v>20251201..20251231</v>
      </c>
    </row>
    <row r="10" spans="1:5">
      <c r="B10" s="4" t="s">
        <v>37</v>
      </c>
      <c r="C10" s="6" t="str">
        <f>"'S7138270','7138270' "</f>
        <v xml:space="preserve">'S7138270','7138270' </v>
      </c>
    </row>
    <row r="11" spans="1:5">
      <c r="B11" s="4" t="s">
        <v>35</v>
      </c>
      <c r="C11" s="6" t="str">
        <f>"'S7138270','7138270' "</f>
        <v xml:space="preserve">'S7138270','7138270' </v>
      </c>
    </row>
    <row r="12" spans="1:5">
      <c r="B12" s="4" t="s">
        <v>38</v>
      </c>
      <c r="C12" s="6" t="str">
        <f>"'MS'"</f>
        <v>'MS'</v>
      </c>
    </row>
    <row r="13" spans="1:5">
      <c r="B13" s="4" t="s">
        <v>39</v>
      </c>
      <c r="C13" s="4" t="str">
        <f>$D$13&amp;$D$14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  <c r="D13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14" spans="1:5">
      <c r="D14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  <row r="15" spans="1:5">
      <c r="D15" s="4" t="s">
        <v>52</v>
      </c>
    </row>
    <row r="28" spans="3:6">
      <c r="C28" s="32" t="s">
        <v>53</v>
      </c>
      <c r="D28" s="32" t="s">
        <v>52</v>
      </c>
    </row>
    <row r="29" spans="3:6">
      <c r="D29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30" spans="3:6">
      <c r="D30" s="4" t="str">
        <f>"'CS0085-SGD','CS0086-SGD','CS0507-SGD','CS0507-SGD','CI1261-SGD','CS0085-SGD','CC0128-SGD','CS0222-SGD','CS0226-SGD','CS0653-SGD','CI1277-SGD'"</f>
        <v>'CS0085-SGD','CS0086-SGD','CS0507-SGD','CS0507-SGD','CI1261-SGD','CS0085-SGD','CC0128-SGD','CS0222-SGD','CS0226-SGD','CS0653-SGD','CI1277-SGD'</v>
      </c>
    </row>
    <row r="32" spans="3:6">
      <c r="F32" s="14"/>
    </row>
    <row r="33" spans="7:7">
      <c r="G33" s="14"/>
    </row>
  </sheetData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40"/>
  <sheetViews>
    <sheetView tabSelected="1" topLeftCell="K19" zoomScale="92" zoomScaleNormal="92" workbookViewId="0">
      <selection activeCell="W31" sqref="W31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8.28515625" style="4" bestFit="1" customWidth="1"/>
    <col min="12" max="12" width="6.28515625" style="19" bestFit="1" customWidth="1"/>
    <col min="13" max="13" width="10.85546875" style="16" bestFit="1" customWidth="1"/>
    <col min="14" max="14" width="11.28515625" style="4" bestFit="1" customWidth="1"/>
    <col min="15" max="15" width="16.85546875" style="4" bestFit="1" customWidth="1"/>
    <col min="16" max="16" width="10.42578125" style="4" bestFit="1" customWidth="1"/>
    <col min="17" max="17" width="4" style="3" customWidth="1"/>
    <col min="18" max="18" width="12" style="4" bestFit="1" customWidth="1"/>
    <col min="19" max="19" width="47" style="4" bestFit="1" customWidth="1"/>
    <col min="20" max="20" width="14.7109375" style="4" bestFit="1" customWidth="1"/>
    <col min="21" max="21" width="14.7109375" style="4" customWidth="1"/>
    <col min="22" max="22" width="11.28515625" style="4" bestFit="1" customWidth="1"/>
    <col min="23" max="23" width="11.28515625" style="17" bestFit="1" customWidth="1"/>
    <col min="24" max="24" width="8.5703125" style="4" bestFit="1" customWidth="1"/>
    <col min="25" max="25" width="23" style="4" hidden="1" customWidth="1"/>
    <col min="26" max="26" width="10.7109375" style="4" hidden="1" customWidth="1"/>
    <col min="27" max="27" width="8.5703125" style="4" customWidth="1"/>
    <col min="28" max="28" width="10.42578125" style="28" bestFit="1" customWidth="1"/>
    <col min="29" max="29" width="9.28515625" style="4"/>
    <col min="30" max="31" width="9.28515625" style="4" hidden="1" customWidth="1"/>
    <col min="32" max="33" width="11.28515625" style="4" customWidth="1"/>
    <col min="34" max="34" width="57.7109375" style="4" customWidth="1"/>
    <col min="35" max="35" width="13.140625" style="3" customWidth="1"/>
    <col min="36" max="36" width="11.42578125" style="4" customWidth="1"/>
    <col min="37" max="37" width="13.42578125" style="4" customWidth="1"/>
    <col min="38" max="38" width="49.140625" style="4" customWidth="1"/>
    <col min="39" max="16384" width="9.28515625" style="4"/>
  </cols>
  <sheetData>
    <row r="1" spans="1:35" s="1" customFormat="1" hidden="1">
      <c r="A1" s="1" t="s">
        <v>169</v>
      </c>
      <c r="B1" s="1" t="s">
        <v>41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2" t="s">
        <v>7</v>
      </c>
      <c r="J1" s="1" t="s">
        <v>48</v>
      </c>
      <c r="K1" s="1" t="s">
        <v>17</v>
      </c>
      <c r="L1" s="20" t="s">
        <v>17</v>
      </c>
      <c r="M1" s="15" t="s">
        <v>17</v>
      </c>
      <c r="N1" s="1" t="s">
        <v>17</v>
      </c>
      <c r="O1" s="1" t="s">
        <v>17</v>
      </c>
      <c r="P1" s="1" t="s">
        <v>17</v>
      </c>
      <c r="Q1" s="2" t="s">
        <v>17</v>
      </c>
      <c r="R1" s="1" t="s">
        <v>17</v>
      </c>
      <c r="S1" s="1" t="s">
        <v>17</v>
      </c>
      <c r="T1" s="1" t="s">
        <v>17</v>
      </c>
      <c r="V1" s="1" t="s">
        <v>17</v>
      </c>
      <c r="W1" s="1" t="s">
        <v>17</v>
      </c>
      <c r="X1" s="1" t="s">
        <v>17</v>
      </c>
      <c r="Y1" s="1" t="s">
        <v>7</v>
      </c>
      <c r="Z1" s="1" t="s">
        <v>7</v>
      </c>
      <c r="AA1" s="1" t="s">
        <v>17</v>
      </c>
      <c r="AB1" s="1" t="s">
        <v>17</v>
      </c>
      <c r="AD1" s="1" t="s">
        <v>7</v>
      </c>
      <c r="AE1" s="1" t="s">
        <v>7</v>
      </c>
      <c r="AI1" s="2"/>
    </row>
    <row r="2" spans="1:35" hidden="1">
      <c r="A2" s="1" t="s">
        <v>7</v>
      </c>
      <c r="D2" s="4" t="s">
        <v>18</v>
      </c>
      <c r="E2" s="4" t="str">
        <f>Option!$C$2</f>
        <v>UICACS</v>
      </c>
    </row>
    <row r="3" spans="1:35" hidden="1">
      <c r="A3" s="1" t="s">
        <v>7</v>
      </c>
      <c r="D3" s="7" t="s">
        <v>21</v>
      </c>
      <c r="E3" s="7" t="s">
        <v>19</v>
      </c>
      <c r="F3" s="7" t="s">
        <v>20</v>
      </c>
      <c r="G3" s="7" t="s">
        <v>22</v>
      </c>
      <c r="H3" s="7" t="s">
        <v>42</v>
      </c>
      <c r="I3" s="13" t="s">
        <v>23</v>
      </c>
    </row>
    <row r="4" spans="1:35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 ORDER BY DOCNUM, DOCDATE</v>
      </c>
      <c r="F4" s="8" t="s">
        <v>46</v>
      </c>
      <c r="G4" s="4" t="s">
        <v>24</v>
      </c>
      <c r="H4" s="4" t="str">
        <f>" ORDER BY DOCNUM, DOCDATE"</f>
        <v xml:space="preserve"> ORDER BY DOCNUM, DOCDATE</v>
      </c>
    </row>
    <row r="5" spans="1:35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 ORDER BY DOCNUM, DOCDATE</v>
      </c>
      <c r="F5" s="8" t="s">
        <v>47</v>
      </c>
      <c r="G5" s="4" t="s">
        <v>24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</row>
    <row r="6" spans="1:35" ht="15.75" hidden="1" customHeight="1">
      <c r="A6" s="1" t="s">
        <v>7</v>
      </c>
      <c r="C6" s="4" t="s">
        <v>36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 ORDER BY DOCNUM, DOCDATE</v>
      </c>
      <c r="F6" s="8" t="s">
        <v>47</v>
      </c>
      <c r="G6" s="4" t="s">
        <v>24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</row>
    <row r="7" spans="1:35" hidden="1">
      <c r="A7" s="1" t="s">
        <v>7</v>
      </c>
    </row>
    <row r="8" spans="1:35" hidden="1">
      <c r="A8" s="1" t="s">
        <v>7</v>
      </c>
      <c r="K8" s="9"/>
    </row>
    <row r="9" spans="1:35" hidden="1">
      <c r="A9" s="1" t="s">
        <v>7</v>
      </c>
      <c r="K9" s="9"/>
    </row>
    <row r="10" spans="1:35" hidden="1">
      <c r="A10" s="1" t="s">
        <v>7</v>
      </c>
    </row>
    <row r="11" spans="1:35" hidden="1">
      <c r="A11" s="1" t="s">
        <v>7</v>
      </c>
      <c r="C11" s="4" t="s">
        <v>26</v>
      </c>
      <c r="E11" s="4" t="str">
        <f>Option!$C$9</f>
        <v>20251201..20251231</v>
      </c>
      <c r="K11" s="9"/>
    </row>
    <row r="12" spans="1:35" hidden="1">
      <c r="A12" s="1" t="s">
        <v>7</v>
      </c>
      <c r="C12" s="4" t="s">
        <v>27</v>
      </c>
      <c r="E12" s="4" t="str">
        <f>Option!$C$5</f>
        <v>*</v>
      </c>
      <c r="K12" s="9"/>
    </row>
    <row r="13" spans="1:35" hidden="1">
      <c r="A13" s="1" t="s">
        <v>7</v>
      </c>
      <c r="C13" s="4" t="s">
        <v>37</v>
      </c>
      <c r="E13" s="4" t="str">
        <f>Option!$C$10</f>
        <v xml:space="preserve">'S7138270','7138270' </v>
      </c>
      <c r="K13" s="9"/>
    </row>
    <row r="14" spans="1:35" hidden="1">
      <c r="A14" s="1" t="s">
        <v>7</v>
      </c>
      <c r="C14" s="4" t="s">
        <v>35</v>
      </c>
      <c r="E14" s="4" t="str">
        <f>Option!$C$11</f>
        <v xml:space="preserve">'S7138270','7138270' </v>
      </c>
      <c r="K14" s="9"/>
    </row>
    <row r="15" spans="1:35" hidden="1">
      <c r="A15" s="1" t="s">
        <v>7</v>
      </c>
      <c r="C15" s="4" t="s">
        <v>38</v>
      </c>
      <c r="E15" s="4" t="str">
        <f>Option!$C$12</f>
        <v>'MS'</v>
      </c>
      <c r="Z15" s="14"/>
    </row>
    <row r="16" spans="1:35" hidden="1">
      <c r="A16" s="1" t="s">
        <v>7</v>
      </c>
      <c r="C16" s="4" t="s">
        <v>39</v>
      </c>
      <c r="E16" s="4" t="str">
        <f>Option!$C$13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</row>
    <row r="17" spans="1:38" hidden="1">
      <c r="A17" s="1" t="s">
        <v>7</v>
      </c>
    </row>
    <row r="18" spans="1:38" s="22" customFormat="1" hidden="1">
      <c r="A18" s="22" t="s">
        <v>7</v>
      </c>
      <c r="I18" s="23"/>
      <c r="L18" s="24"/>
      <c r="M18" s="25"/>
      <c r="Q18" s="26"/>
      <c r="W18" s="27"/>
      <c r="AB18" s="29"/>
      <c r="AI18" s="26"/>
    </row>
    <row r="20" spans="1:38" ht="15.75">
      <c r="K20" s="18"/>
      <c r="L20" s="18"/>
      <c r="M20" s="18"/>
      <c r="N20" s="18"/>
      <c r="O20" s="18"/>
      <c r="P20" s="18"/>
      <c r="Q20" s="21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38" ht="15.75">
      <c r="K21" s="47" t="s">
        <v>40</v>
      </c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</row>
    <row r="22" spans="1:38" ht="15.75">
      <c r="K22" s="18"/>
      <c r="L22" s="18"/>
      <c r="M22" s="18"/>
      <c r="N22" s="18"/>
      <c r="O22" s="18"/>
      <c r="P22" s="18"/>
      <c r="Q22" s="21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38" ht="78.75">
      <c r="E23" s="10" t="s">
        <v>28</v>
      </c>
      <c r="K23" s="33" t="s">
        <v>54</v>
      </c>
      <c r="L23" s="33" t="s">
        <v>55</v>
      </c>
      <c r="M23" s="33" t="s">
        <v>14</v>
      </c>
      <c r="N23" s="33" t="s">
        <v>15</v>
      </c>
      <c r="O23" s="34" t="s">
        <v>29</v>
      </c>
      <c r="P23" s="33" t="s">
        <v>56</v>
      </c>
      <c r="Q23" s="35" t="s">
        <v>57</v>
      </c>
      <c r="R23" s="33" t="s">
        <v>30</v>
      </c>
      <c r="S23" s="35" t="s">
        <v>34</v>
      </c>
      <c r="T23" s="35" t="s">
        <v>32</v>
      </c>
      <c r="U23" s="36" t="s">
        <v>420</v>
      </c>
      <c r="V23" s="36" t="s">
        <v>16</v>
      </c>
      <c r="W23" s="37" t="s">
        <v>58</v>
      </c>
      <c r="X23" s="37" t="s">
        <v>59</v>
      </c>
      <c r="Y23" s="38" t="s">
        <v>33</v>
      </c>
      <c r="Z23" s="38" t="s">
        <v>12</v>
      </c>
      <c r="AA23" s="35" t="s">
        <v>31</v>
      </c>
      <c r="AB23" s="35" t="s">
        <v>13</v>
      </c>
      <c r="AC23" s="39" t="s">
        <v>62</v>
      </c>
      <c r="AD23" s="39" t="s">
        <v>63</v>
      </c>
      <c r="AE23" s="37" t="s">
        <v>64</v>
      </c>
      <c r="AF23" s="37" t="s">
        <v>65</v>
      </c>
      <c r="AG23" s="37" t="s">
        <v>66</v>
      </c>
      <c r="AH23" s="37" t="s">
        <v>67</v>
      </c>
      <c r="AI23" s="48" t="s">
        <v>68</v>
      </c>
      <c r="AJ23" s="37" t="s">
        <v>69</v>
      </c>
      <c r="AK23" s="37" t="s">
        <v>70</v>
      </c>
      <c r="AL23" s="33" t="s">
        <v>71</v>
      </c>
    </row>
    <row r="24" spans="1:38">
      <c r="B24" s="1" t="str">
        <f>IF(K24="","Hide","Show")</f>
        <v>Show</v>
      </c>
      <c r="C24" s="4" t="s">
        <v>43</v>
      </c>
      <c r="E24" s="11" t="str">
        <f>"""UICACS"","""",""SQL="",""2=DOCNUM"",""33041045"",""14=CUSTREF"",""4825400128"",""14=U_CUSTREF"",""4825400128"",""15=DOCDATE"",""3/12/2025"",""15=TAXDATE"",""3/12/2025"",""14=CARDCODE"",""CI1139-SGD"",""14=CARDNAME"",""NATIONAL HEART CENTRE OF SINGAPORE PTE LTD"",""14=ITEMCODE"",""MS9EA-002"&amp;"67GLP"",""14=ITEMNAME"",""MS WIN SERVER DC CORE SLNG LSA 2L"",""10=QUANTITY"",""10.000000"",""14=U_PONO"",""961011"",""15=U_PODATE"",""25/11/2025"",""10=U_TLINTCOS"",""0.000000"",""2=SLPCODE"",""127"",""14=SLPNAME"",""E0001-GH"",""14=MEMO"",""MANZY TOH GUAN HUI"",""14=CONTACTNAME"",""E-INVO"&amp;"ICE"",""10=LINETOTAL"",""12512.600000"",""14=U_ENR"","""",""14=U_MSENR"",""S7138270"",""14=U_MSPCN"",""A8AA53F5"",""14=ADDRESS2"",""VICTOR EFFENDIE_x000D_NATIONAL HEART CENTRE 5 HOSPITAL DRIVE, LEVEL 11, SINGAPORE 169609 _x000D_MR VICTOR EFFENDIE_x000D_TEL: 6704 2124/90612970_x000D_FAX: _x000D_EMAIL: vic"&amp;"tor.effendie@nhcs.com.sg"""</f>
        <v>"UICACS","","SQL=","2=DOCNUM","33041045","14=CUSTREF","4825400128","14=U_CUSTREF","4825400128","15=DOCDATE","3/12/2025","15=TAXDATE","3/12/2025","14=CARDCODE","CI1139-SGD","14=CARDNAME","NATIONAL HEART CENTRE OF SINGAPORE PTE LTD","14=ITEMCODE","MS9EA-00267GLP","14=ITEMNAME","MS WIN SERVER DC CORE SLNG LSA 2L","10=QUANTITY","10.000000","14=U_PONO","961011","15=U_PODATE","25/11/2025","10=U_TLINTCOS","0.000000","2=SLPCODE","127","14=SLPNAME","E0001-GH","14=MEMO","MANZY TOH GUAN HUI","14=CONTACTNAME","E-INVOICE","10=LINETOTAL","12512.600000","14=U_ENR","","14=U_MSENR","S7138270","14=U_MSPCN","A8AA53F5","14=ADDRESS2","VICTOR EFFENDIE_x000D_NATIONAL HEART CENTRE 5 HOSPITAL DRIVE, LEVEL 11, SINGAPORE 169609 _x000D_MR VICTOR EFFENDIE_x000D_TEL: 6704 2124/90612970_x000D_FAX: _x000D_EMAIL: victor.effendie@nhcs.com.sg"</v>
      </c>
      <c r="K24" s="19">
        <f>MONTH(N24)</f>
        <v>12</v>
      </c>
      <c r="L24" s="19">
        <f>YEAR(N24)</f>
        <v>2025</v>
      </c>
      <c r="M24" s="4">
        <v>33041045</v>
      </c>
      <c r="N24" s="30">
        <v>45994</v>
      </c>
      <c r="O24" s="19" t="str">
        <f>"S7138270"</f>
        <v>S7138270</v>
      </c>
      <c r="P24" s="19" t="str">
        <f>"A8AA53F5"</f>
        <v>A8AA53F5</v>
      </c>
      <c r="Q24" s="19"/>
      <c r="R24" s="19" t="str">
        <f>"CI1139-SGD"</f>
        <v>CI1139-SGD</v>
      </c>
      <c r="S24" s="4" t="str">
        <f>"NATIONAL HEART CENTRE OF SINGAPORE PTE LTD"</f>
        <v>NATIONAL HEART CENTRE OF SINGAPORE PTE LTD</v>
      </c>
      <c r="T24" s="19" t="str">
        <f>"4825400128"</f>
        <v>4825400128</v>
      </c>
      <c r="U24" s="40" t="str">
        <f>"961011"</f>
        <v>961011</v>
      </c>
      <c r="V24" s="40">
        <v>45986</v>
      </c>
      <c r="W24" s="40">
        <v>45994</v>
      </c>
      <c r="X24" s="41">
        <f>SUM(N24-V24)</f>
        <v>8</v>
      </c>
      <c r="Y24" s="42" t="str">
        <f>"MS9EA-00267GLP"</f>
        <v>MS9EA-00267GLP</v>
      </c>
      <c r="Z24" s="42" t="str">
        <f>"MS WIN SERVER DC CORE SLNG LSA 2L"</f>
        <v>MS WIN SERVER DC CORE SLNG LSA 2L</v>
      </c>
      <c r="AA24" s="42" t="str">
        <f>"MANZY TOH GUAN HUI"</f>
        <v>MANZY TOH GUAN HUI</v>
      </c>
      <c r="AB24" s="41">
        <v>10</v>
      </c>
      <c r="AC24" s="30" t="s">
        <v>72</v>
      </c>
      <c r="AD24" s="43" t="str">
        <f>"VICTOR EFFENDIE_x000D_NATIONAL HEART CENTRE 5 HOSPITAL DRIVE, LEVEL 11, SINGAPORE 169609 _x000D_MR VICTOR EFFENDIE_x000D_TEL: 6704 2124/90612970_x000D_FAX: _x000D_EMAIL: victor.effendie@nhcs.com.sg"</f>
        <v>VICTOR EFFENDIE_x000D_NATIONAL HEART CENTRE 5 HOSPITAL DRIVE, LEVEL 11, SINGAPORE 169609 _x000D_MR VICTOR EFFENDIE_x000D_TEL: 6704 2124/90612970_x000D_FAX: _x000D_EMAIL: victor.effendie@nhcs.com.sg</v>
      </c>
      <c r="AE24" s="44" t="s">
        <v>73</v>
      </c>
      <c r="AF24" s="44" t="s">
        <v>74</v>
      </c>
      <c r="AG24" s="3" t="str">
        <f>"MS9EA-00267GLP"</f>
        <v>MS9EA-00267GLP</v>
      </c>
      <c r="AH24" s="3" t="str">
        <f>"MS WIN SERVER DC CORE SLNG LSA 2L"</f>
        <v>MS WIN SERVER DC CORE SLNG LSA 2L</v>
      </c>
      <c r="AI24" s="3" t="s">
        <v>421</v>
      </c>
      <c r="AJ24" s="19" t="s">
        <v>422</v>
      </c>
      <c r="AK24" s="19" t="s">
        <v>423</v>
      </c>
      <c r="AL24" s="3" t="s">
        <v>426</v>
      </c>
    </row>
    <row r="25" spans="1:38">
      <c r="A25" s="1" t="s">
        <v>166</v>
      </c>
      <c r="B25" s="1" t="str">
        <f t="shared" ref="B25:B32" si="0">IF(K25="","Hide","Show")</f>
        <v>Show</v>
      </c>
      <c r="C25" s="4" t="s">
        <v>43</v>
      </c>
      <c r="E25" s="11" t="str">
        <f>"""UICACS"","""",""SQL="",""2=DOCNUM"",""33041047"",""14=CUSTREF"",""8725017848"",""14=U_CUSTREF"",""8725017848"",""15=DOCDATE"",""4/12/2025"",""15=TAXDATE"",""4/12/2025"",""14=CARDCODE"",""CI1232-SGD"",""14=CARDNAME"",""SINGAPORE GENERAL HOSPITAL PTE LTD"",""14=ITEMCODE"",""MSEP2-27380GLP"","""&amp;"14=ITEMNAME"",""MS OFFICE STANDARD 2024 SLNG LTSC"",""10=QUANTITY"",""1.000000"",""14=U_PONO"",""961155B"",""15=U_PODATE"",""2/12/2025"",""10=U_TLINTCOS"",""0.000000"",""2=SLPCODE"",""132"",""14=SLPNAME"",""E0001-CS"",""14=MEMO"",""WENDY KUM CHIOU SZE"",""14=CONTACTNAME"",""FINANCE DEPART"&amp;"MENT"",""10=LINETOTAL"",""428.120000"",""14=U_ENR"","""",""14=U_MSENR"",""S7138270"",""14=U_MSPCN"",""8E125DFC"",""14=ADDRESS2"",""TAN CHUN HOOI/SEAH WAIH KHUEN_x000D_SINGAPORE GENERAL HOSPITAL PTE LTD 10 HOSPITAL BOULEVARD SINGHEALTH TOWER SINGAPORE 168582_x000D_TAN CHUN HOOI/SEAH WAIH"&amp;" KHUEN_x000D_TEL: 84288255_x000D_FAX: _x000D_EMAIL: tan.chun.hooi@synapxe.sg"""</f>
        <v>"UICACS","","SQL=","2=DOCNUM","33041047","14=CUSTREF","8725017848","14=U_CUSTREF","8725017848","15=DOCDATE","4/12/2025","15=TAXDATE","4/12/2025","14=CARDCODE","CI1232-SGD","14=CARDNAME","SINGAPORE GENERAL HOSPITAL PTE LTD","14=ITEMCODE","MSEP2-27380GLP","14=ITEMNAME","MS OFFICE STANDARD 2024 SLNG LTSC","10=QUANTITY","1.000000","14=U_PONO","961155B","15=U_PODATE","2/12/2025","10=U_TLINTCOS","0.000000","2=SLPCODE","132","14=SLPNAME","E0001-CS","14=MEMO","WENDY KUM CHIOU SZE","14=CONTACTNAME","FINANCE DEPARTMENT","10=LINETOTAL","428.120000","14=U_ENR","","14=U_MSENR","S7138270","14=U_MSPCN","8E125DFC","14=ADDRESS2","TAN CHUN HOOI/SEAH WAIH KHUEN_x000D_SINGAPORE GENERAL HOSPITAL PTE LTD 10 HOSPITAL BOULEVARD SINGHEALTH TOWER SINGAPORE 168582_x000D_TAN CHUN HOOI/SEAH WAIH KHUEN_x000D_TEL: 84288255_x000D_FAX: _x000D_EMAIL: tan.chun.hooi@synapxe.sg"</v>
      </c>
      <c r="K25" s="19">
        <f>MONTH(N25)</f>
        <v>12</v>
      </c>
      <c r="L25" s="19">
        <f>YEAR(N25)</f>
        <v>2025</v>
      </c>
      <c r="M25" s="4">
        <v>33041047</v>
      </c>
      <c r="N25" s="30">
        <v>45995</v>
      </c>
      <c r="O25" s="19" t="str">
        <f>"S7138270"</f>
        <v>S7138270</v>
      </c>
      <c r="P25" s="19" t="str">
        <f>"8E125DFC"</f>
        <v>8E125DFC</v>
      </c>
      <c r="Q25" s="19"/>
      <c r="R25" s="19" t="str">
        <f>"CI1232-SGD"</f>
        <v>CI1232-SGD</v>
      </c>
      <c r="S25" s="4" t="str">
        <f>"SINGAPORE GENERAL HOSPITAL PTE LTD"</f>
        <v>SINGAPORE GENERAL HOSPITAL PTE LTD</v>
      </c>
      <c r="T25" s="19" t="str">
        <f>"8725017848"</f>
        <v>8725017848</v>
      </c>
      <c r="U25" s="40" t="str">
        <f>"961155B"</f>
        <v>961155B</v>
      </c>
      <c r="V25" s="40">
        <v>45993</v>
      </c>
      <c r="W25" s="40">
        <v>45995</v>
      </c>
      <c r="X25" s="41">
        <f>SUM(N25-V25)</f>
        <v>2</v>
      </c>
      <c r="Y25" s="42" t="str">
        <f>"MSEP2-27380GLP"</f>
        <v>MSEP2-27380GLP</v>
      </c>
      <c r="Z25" s="42" t="str">
        <f>"MS OFFICE STANDARD 2024 SLNG LTSC"</f>
        <v>MS OFFICE STANDARD 2024 SLNG LTSC</v>
      </c>
      <c r="AA25" s="42" t="str">
        <f>"WENDY KUM CHIOU SZE"</f>
        <v>WENDY KUM CHIOU SZE</v>
      </c>
      <c r="AB25" s="41">
        <v>1</v>
      </c>
      <c r="AC25" s="30" t="s">
        <v>72</v>
      </c>
      <c r="AD25" s="43" t="str">
        <f>"TAN CHUN HOOI/SEAH WAIH KHUEN_x000D_SINGAPORE GENERAL HOSPITAL PTE LTD 10 HOSPITAL BOULEVARD SINGHEALTH TOWER SINGAPORE 168582_x000D_TAN CHUN HOOI/SEAH WAIH KHUEN_x000D_TEL: 84288255_x000D_FAX: _x000D_EMAIL: tan.chun.hooi@synapxe.sg"</f>
        <v>TAN CHUN HOOI/SEAH WAIH KHUEN_x000D_SINGAPORE GENERAL HOSPITAL PTE LTD 10 HOSPITAL BOULEVARD SINGHEALTH TOWER SINGAPORE 168582_x000D_TAN CHUN HOOI/SEAH WAIH KHUEN_x000D_TEL: 84288255_x000D_FAX: _x000D_EMAIL: tan.chun.hooi@synapxe.sg</v>
      </c>
      <c r="AE25" s="44" t="s">
        <v>73</v>
      </c>
      <c r="AF25" s="44" t="s">
        <v>74</v>
      </c>
      <c r="AG25" s="3" t="str">
        <f>"MSEP2-27380GLP"</f>
        <v>MSEP2-27380GLP</v>
      </c>
      <c r="AH25" s="3" t="str">
        <f>"MS OFFICE STANDARD 2024 SLNG LTSC"</f>
        <v>MS OFFICE STANDARD 2024 SLNG LTSC</v>
      </c>
      <c r="AI25" s="3" t="s">
        <v>424</v>
      </c>
      <c r="AJ25" s="19" t="str">
        <f>"-"</f>
        <v>-</v>
      </c>
      <c r="AK25" s="19" t="str">
        <f>"-"</f>
        <v>-</v>
      </c>
      <c r="AL25" s="19" t="str">
        <f>"-"</f>
        <v>-</v>
      </c>
    </row>
    <row r="26" spans="1:38">
      <c r="A26" s="1" t="s">
        <v>166</v>
      </c>
      <c r="B26" s="1" t="str">
        <f t="shared" si="0"/>
        <v>Show</v>
      </c>
      <c r="C26" s="4" t="s">
        <v>43</v>
      </c>
      <c r="E26" s="11" t="str">
        <f>"""UICACS"","""",""SQL="",""2=DOCNUM"",""33041179"",""14=CUSTREF"",""6725001473"",""14=U_CUSTREF"",""6725001473"",""15=DOCDATE"",""19/12/2025"",""15=TAXDATE"",""19/12/2025"",""14=CARDCODE"",""CI1256-SGD"",""14=CARDNAME"",""SINGAPORE HEALTH SERVICES PTE LTD"",""14=ITEMCODE"",""MS6VC-01288GLP"","&amp;"""14=ITEMNAME"",""MS WIN REMOTE DESKTOP SERVICES CAL SLNG LSA UCAL"",""10=QUANTITY"",""2.000000"",""14=U_PONO"",""961469"",""15=U_PODATE"",""18/12/2025"",""10=U_TLINTCOS"",""0.000000"",""2=SLPCODE"",""132"",""14=SLPNAME"",""E0001-CS"",""14=MEMO"",""WENDY KUM CHIOU SZE"",""14=CONTACTNAME"""&amp;",""FINANCE DEPARTMENT"",""10=LINETOTAL"",""497.980000"",""14=U_ENR"","""",""14=U_MSENR"",""S7138270"",""14=U_MSPCN"",""AD5A91AA"",""14=ADDRESS2"",""WYNN TAN_x000D_SINGAPORE HEALTH SERVICES PTE LTD 168 JALAN BUKIT MERAH SURBANA ONE #16-01 SINGAPORE 150168_x000D_WYNN TAN_x000D_TEL: _x000D_FAX: _x000D_EMAIL:"&amp;" WYNN.TAN@SYNAPXE.SG"""</f>
        <v>"UICACS","","SQL=","2=DOCNUM","33041179","14=CUSTREF","6725001473","14=U_CUSTREF","6725001473","15=DOCDATE","19/12/2025","15=TAXDATE","19/12/2025","14=CARDCODE","CI1256-SGD","14=CARDNAME","SINGAPORE HEALTH SERVICES PTE LTD","14=ITEMCODE","MS6VC-01288GLP","14=ITEMNAME","MS WIN REMOTE DESKTOP SERVICES CAL SLNG LSA UCAL","10=QUANTITY","2.000000","14=U_PONO","961469","15=U_PODATE","18/12/2025","10=U_TLINTCOS","0.000000","2=SLPCODE","132","14=SLPNAME","E0001-CS","14=MEMO","WENDY KUM CHIOU SZE","14=CONTACTNAME","FINANCE DEPARTMENT","10=LINETOTAL","497.980000","14=U_ENR","","14=U_MSENR","S7138270","14=U_MSPCN","AD5A91AA","14=ADDRESS2","WYNN TAN_x000D_SINGAPORE HEALTH SERVICES PTE LTD 168 JALAN BUKIT MERAH SURBANA ONE #16-01 SINGAPORE 150168_x000D_WYNN TAN_x000D_TEL: _x000D_FAX: _x000D_EMAIL: WYNN.TAN@SYNAPXE.SG"</v>
      </c>
      <c r="K26" s="19">
        <f>MONTH(N26)</f>
        <v>12</v>
      </c>
      <c r="L26" s="19">
        <f>YEAR(N26)</f>
        <v>2025</v>
      </c>
      <c r="M26" s="4">
        <v>33041179</v>
      </c>
      <c r="N26" s="30">
        <v>46010</v>
      </c>
      <c r="O26" s="19" t="str">
        <f>"S7138270"</f>
        <v>S7138270</v>
      </c>
      <c r="P26" s="19" t="str">
        <f>"AD5A91AA"</f>
        <v>AD5A91AA</v>
      </c>
      <c r="Q26" s="19"/>
      <c r="R26" s="19" t="str">
        <f>"CI1256-SGD"</f>
        <v>CI1256-SGD</v>
      </c>
      <c r="S26" s="4" t="str">
        <f>"SINGAPORE HEALTH SERVICES PTE LTD"</f>
        <v>SINGAPORE HEALTH SERVICES PTE LTD</v>
      </c>
      <c r="T26" s="19" t="str">
        <f>"6725001473"</f>
        <v>6725001473</v>
      </c>
      <c r="U26" s="40" t="str">
        <f>"961469"</f>
        <v>961469</v>
      </c>
      <c r="V26" s="40">
        <v>46009</v>
      </c>
      <c r="W26" s="40">
        <v>46010</v>
      </c>
      <c r="X26" s="41">
        <f>SUM(N26-V26)</f>
        <v>1</v>
      </c>
      <c r="Y26" s="42" t="str">
        <f>"MS6VC-01288GLP"</f>
        <v>MS6VC-01288GLP</v>
      </c>
      <c r="Z26" s="42" t="str">
        <f>"MS WIN REMOTE DESKTOP SERVICES CAL SLNG LSA UCAL"</f>
        <v>MS WIN REMOTE DESKTOP SERVICES CAL SLNG LSA UCAL</v>
      </c>
      <c r="AA26" s="42" t="str">
        <f>"WENDY KUM CHIOU SZE"</f>
        <v>WENDY KUM CHIOU SZE</v>
      </c>
      <c r="AB26" s="41">
        <v>2</v>
      </c>
      <c r="AC26" s="30" t="s">
        <v>72</v>
      </c>
      <c r="AD26" s="43" t="str">
        <f>"WYNN TAN_x000D_SINGAPORE HEALTH SERVICES PTE LTD 168 JALAN BUKIT MERAH SURBANA ONE #16-01 SINGAPORE 150168_x000D_WYNN TAN_x000D_TEL: _x000D_FAX: _x000D_EMAIL: WYNN.TAN@SYNAPXE.SG"</f>
        <v>WYNN TAN_x000D_SINGAPORE HEALTH SERVICES PTE LTD 168 JALAN BUKIT MERAH SURBANA ONE #16-01 SINGAPORE 150168_x000D_WYNN TAN_x000D_TEL: _x000D_FAX: _x000D_EMAIL: WYNN.TAN@SYNAPXE.SG</v>
      </c>
      <c r="AE26" s="44" t="s">
        <v>73</v>
      </c>
      <c r="AF26" s="44" t="s">
        <v>74</v>
      </c>
      <c r="AG26" s="3" t="str">
        <f>"MS6VC-01288GLP"</f>
        <v>MS6VC-01288GLP</v>
      </c>
      <c r="AH26" s="3" t="str">
        <f>"MS WIN REMOTE DESKTOP SERVICES CAL SLNG LSA UCAL"</f>
        <v>MS WIN REMOTE DESKTOP SERVICES CAL SLNG LSA UCAL</v>
      </c>
      <c r="AI26" s="3" t="s">
        <v>421</v>
      </c>
      <c r="AJ26" s="19" t="s">
        <v>422</v>
      </c>
      <c r="AK26" s="19" t="s">
        <v>425</v>
      </c>
      <c r="AL26" s="19" t="str">
        <f>"-"</f>
        <v>-</v>
      </c>
    </row>
    <row r="27" spans="1:38">
      <c r="A27" s="1" t="s">
        <v>166</v>
      </c>
      <c r="B27" s="1" t="str">
        <f t="shared" si="0"/>
        <v>Show</v>
      </c>
      <c r="C27" s="4" t="s">
        <v>43</v>
      </c>
      <c r="E27" s="11" t="str">
        <f>"""UICACS"","""",""SQL="",""2=DOCNUM"",""33041260"",""14=CUSTREF"",""6725000907"",""14=U_CUSTREF"",""6725000907"",""15=DOCDATE"",""30/12/2025"",""15=TAXDATE"",""30/12/2025"",""14=CARDCODE"",""CI1256-SGD"",""14=CARDNAME"",""SINGAPORE HEALTH SERVICES PTE LTD"",""14=ITEMCODE"",""MS7JQ-00355GLP"","&amp;"""14=ITEMNAME"",""MS SQL SERVER ENTERPRISE CORE SLNG SA 2L"",""10=QUANTITY"",""2.000000"",""14=U_PONO"",""961601"",""15=U_PODATE"",""26/12/2025"",""10=U_TLINTCOS"",""0.000000"",""2=SLPCODE"",""132"",""14=SLPNAME"",""E0001-CS"",""14=MEMO"",""WENDY KUM CHIOU SZE"",""14=CONTACTNAME"",""FINANC"&amp;"E DEPARTMENT"",""10=LINETOTAL"",""19795.960000"",""14=U_ENR"","""",""14=U_MSENR"",""S7138270"",""14=U_MSPCN"",""A8AA53F5"",""14=ADDRESS2"",""GOKUL SWEET LAL VIJILA_x000D_SINGAPORE HEALTH SERVICES PTE LTD 168 JALAN BUKIT MERAH SURBANA ONE, #16-01 SINGAPORE 150168_x000D_GOKUL SWEET LAL VI"&amp;"JILA_x000D_TEL: 93690736_x000D_FAX: _x000D_EMAIL: vijila.gokul@synapxe.sg"""</f>
        <v>"UICACS","","SQL=","2=DOCNUM","33041260","14=CUSTREF","6725000907","14=U_CUSTREF","6725000907","15=DOCDATE","30/12/2025","15=TAXDATE","30/12/2025","14=CARDCODE","CI1256-SGD","14=CARDNAME","SINGAPORE HEALTH SERVICES PTE LTD","14=ITEMCODE","MS7JQ-00355GLP","14=ITEMNAME","MS SQL SERVER ENTERPRISE CORE SLNG SA 2L","10=QUANTITY","2.000000","14=U_PONO","961601","15=U_PODATE","26/12/2025","10=U_TLINTCOS","0.000000","2=SLPCODE","132","14=SLPNAME","E0001-CS","14=MEMO","WENDY KUM CHIOU SZE","14=CONTACTNAME","FINANCE DEPARTMENT","10=LINETOTAL","19795.960000","14=U_ENR","","14=U_MSENR","S7138270","14=U_MSPCN","A8AA53F5","14=ADDRESS2","GOKUL SWEET LAL VIJILA_x000D_SINGAPORE HEALTH SERVICES PTE LTD 168 JALAN BUKIT MERAH SURBANA ONE, #16-01 SINGAPORE 150168_x000D_GOKUL SWEET LAL VIJILA_x000D_TEL: 93690736_x000D_FAX: _x000D_EMAIL: vijila.gokul@synapxe.sg"</v>
      </c>
      <c r="K27" s="19">
        <f>MONTH(N27)</f>
        <v>12</v>
      </c>
      <c r="L27" s="19">
        <f>YEAR(N27)</f>
        <v>2025</v>
      </c>
      <c r="M27" s="4">
        <v>33041260</v>
      </c>
      <c r="N27" s="30">
        <v>46021</v>
      </c>
      <c r="O27" s="19" t="str">
        <f>"S7138270"</f>
        <v>S7138270</v>
      </c>
      <c r="P27" s="19" t="str">
        <f>"A8AA53F5"</f>
        <v>A8AA53F5</v>
      </c>
      <c r="Q27" s="19"/>
      <c r="R27" s="19" t="str">
        <f>"CI1256-SGD"</f>
        <v>CI1256-SGD</v>
      </c>
      <c r="S27" s="4" t="str">
        <f>"SINGAPORE HEALTH SERVICES PTE LTD"</f>
        <v>SINGAPORE HEALTH SERVICES PTE LTD</v>
      </c>
      <c r="T27" s="19" t="str">
        <f>"6725000907"</f>
        <v>6725000907</v>
      </c>
      <c r="U27" s="40" t="str">
        <f>"961601"</f>
        <v>961601</v>
      </c>
      <c r="V27" s="40">
        <v>46017</v>
      </c>
      <c r="W27" s="40">
        <v>46021</v>
      </c>
      <c r="X27" s="41">
        <f>SUM(N27-V27)</f>
        <v>4</v>
      </c>
      <c r="Y27" s="42" t="str">
        <f>"MS7JQ-00355GLP"</f>
        <v>MS7JQ-00355GLP</v>
      </c>
      <c r="Z27" s="42" t="str">
        <f>"MS SQL SERVER ENTERPRISE CORE SLNG SA 2L"</f>
        <v>MS SQL SERVER ENTERPRISE CORE SLNG SA 2L</v>
      </c>
      <c r="AA27" s="42" t="str">
        <f>"WENDY KUM CHIOU SZE"</f>
        <v>WENDY KUM CHIOU SZE</v>
      </c>
      <c r="AB27" s="41">
        <v>2</v>
      </c>
      <c r="AC27" s="30" t="s">
        <v>72</v>
      </c>
      <c r="AD27" s="43" t="str">
        <f>"GOKUL SWEET LAL VIJILA_x000D_SINGAPORE HEALTH SERVICES PTE LTD 168 JALAN BUKIT MERAH SURBANA ONE, #16-01 SINGAPORE 150168_x000D_GOKUL SWEET LAL VIJILA_x000D_TEL: 93690736_x000D_FAX: _x000D_EMAIL: vijila.gokul@synapxe.sg"</f>
        <v>GOKUL SWEET LAL VIJILA_x000D_SINGAPORE HEALTH SERVICES PTE LTD 168 JALAN BUKIT MERAH SURBANA ONE, #16-01 SINGAPORE 150168_x000D_GOKUL SWEET LAL VIJILA_x000D_TEL: 93690736_x000D_FAX: _x000D_EMAIL: vijila.gokul@synapxe.sg</v>
      </c>
      <c r="AE27" s="44" t="s">
        <v>73</v>
      </c>
      <c r="AF27" s="44" t="s">
        <v>74</v>
      </c>
      <c r="AG27" s="3" t="str">
        <f>"MS7JQ-00355GLP"</f>
        <v>MS7JQ-00355GLP</v>
      </c>
      <c r="AH27" s="3" t="str">
        <f>"MS SQL SERVER ENTERPRISE CORE SLNG SA 2L"</f>
        <v>MS SQL SERVER ENTERPRISE CORE SLNG SA 2L</v>
      </c>
      <c r="AI27" s="3" t="s">
        <v>427</v>
      </c>
      <c r="AJ27" s="19" t="s">
        <v>428</v>
      </c>
      <c r="AK27" s="19" t="s">
        <v>423</v>
      </c>
      <c r="AL27" s="19" t="str">
        <f>"-"</f>
        <v>-</v>
      </c>
    </row>
    <row r="28" spans="1:38">
      <c r="A28" s="1" t="s">
        <v>166</v>
      </c>
      <c r="B28" s="1" t="str">
        <f t="shared" si="0"/>
        <v>Show</v>
      </c>
      <c r="C28" s="4" t="s">
        <v>43</v>
      </c>
      <c r="E28" s="11" t="str">
        <f>"""UICACS"","""",""SQL="",""2=DOCNUM"",""33041265"",""14=CUSTREF"",""2825106883"",""14=U_CUSTREF"",""2825106883"",""15=DOCDATE"",""31/12/2025"",""15=TAXDATE"",""31/12/2025"",""14=CARDCODE"",""CS0507-SGD"",""14=CARDNAME"",""SENGKANG GENERAL HOSPITAL PTE. LTD."",""14=ITEMCODE"",""MS7NQ-00300GLP"&amp;""",""14=ITEMNAME"",""MS SQL SERVER STANDARD CORE SLNG LSA 2L"",""10=QUANTITY"",""4.000000"",""14=U_PONO"",""961640"",""15=U_PODATE"",""30/12/2025"",""10=U_TLINTCOS"",""0.000000"",""2=SLPCODE"",""127"",""14=SLPNAME"",""E0001-GH"",""14=MEMO"",""MANZY TOH GUAN HUI"",""14=CONTACTNAME"",""FSS AC"&amp;"COUNTS PAYABLE"",""10=LINETOTAL"",""23598.560000"",""14=U_ENR"","""",""14=U_MSENR"",""S7138270"",""14=U_MSPCN"",""BD18AB21"",""14=ADDRESS2"",""ARTHUR CHENG KIM CHAI_x000D_SENGKANG GENERAL HOSPITAL PTE. LTD. 110 SENGKANG EAST WAY  SINGAPORE 544886_x000D_ARTHUR CHENG KIM CHAI_x000D_TEL: 9786178"&amp;"3_x000D_FAX: _x000D_EMAIL: arthur.cheng.k.c@singhealth.com.sg"""</f>
        <v>"UICACS","","SQL=","2=DOCNUM","33041265","14=CUSTREF","2825106883","14=U_CUSTREF","2825106883","15=DOCDATE","31/12/2025","15=TAXDATE","31/12/2025","14=CARDCODE","CS0507-SGD","14=CARDNAME","SENGKANG GENERAL HOSPITAL PTE. LTD.","14=ITEMCODE","MS7NQ-00300GLP","14=ITEMNAME","MS SQL SERVER STANDARD CORE SLNG LSA 2L","10=QUANTITY","4.000000","14=U_PONO","961640","15=U_PODATE","30/12/2025","10=U_TLINTCOS","0.000000","2=SLPCODE","127","14=SLPNAME","E0001-GH","14=MEMO","MANZY TOH GUAN HUI","14=CONTACTNAME","FSS ACCOUNTS PAYABLE","10=LINETOTAL","23598.560000","14=U_ENR","","14=U_MSENR","S7138270","14=U_MSPCN","BD18AB21","14=ADDRESS2","ARTHUR CHENG KIM CHAI_x000D_SENGKANG GENERAL HOSPITAL PTE. LTD. 110 SENGKANG EAST WAY  SINGAPORE 544886_x000D_ARTHUR CHENG KIM CHAI_x000D_TEL: 97861783_x000D_FAX: _x000D_EMAIL: arthur.cheng.k.c@singhealth.com.sg"</v>
      </c>
      <c r="K28" s="19">
        <f>MONTH(N28)</f>
        <v>12</v>
      </c>
      <c r="L28" s="19">
        <f>YEAR(N28)</f>
        <v>2025</v>
      </c>
      <c r="M28" s="4">
        <v>33041265</v>
      </c>
      <c r="N28" s="30">
        <v>46022</v>
      </c>
      <c r="O28" s="19" t="str">
        <f>"S7138270"</f>
        <v>S7138270</v>
      </c>
      <c r="P28" s="19" t="str">
        <f>"BD18AB21"</f>
        <v>BD18AB21</v>
      </c>
      <c r="Q28" s="19"/>
      <c r="R28" s="19" t="str">
        <f>"CS0507-SGD"</f>
        <v>CS0507-SGD</v>
      </c>
      <c r="S28" s="4" t="str">
        <f>"SENGKANG GENERAL HOSPITAL PTE. LTD."</f>
        <v>SENGKANG GENERAL HOSPITAL PTE. LTD.</v>
      </c>
      <c r="T28" s="19" t="str">
        <f>"2825106883"</f>
        <v>2825106883</v>
      </c>
      <c r="U28" s="40" t="str">
        <f>"961640"</f>
        <v>961640</v>
      </c>
      <c r="V28" s="40">
        <v>46021</v>
      </c>
      <c r="W28" s="40">
        <v>46022</v>
      </c>
      <c r="X28" s="41">
        <f>SUM(N28-V28)</f>
        <v>1</v>
      </c>
      <c r="Y28" s="42" t="str">
        <f>"MS7NQ-00300GLP"</f>
        <v>MS7NQ-00300GLP</v>
      </c>
      <c r="Z28" s="42" t="str">
        <f>"MS SQL SERVER STANDARD CORE SLNG LSA 2L"</f>
        <v>MS SQL SERVER STANDARD CORE SLNG LSA 2L</v>
      </c>
      <c r="AA28" s="42" t="str">
        <f>"MANZY TOH GUAN HUI"</f>
        <v>MANZY TOH GUAN HUI</v>
      </c>
      <c r="AB28" s="41">
        <v>4</v>
      </c>
      <c r="AC28" s="30" t="s">
        <v>72</v>
      </c>
      <c r="AD28" s="43" t="str">
        <f>"ARTHUR CHENG KIM CHAI_x000D_SENGKANG GENERAL HOSPITAL PTE. LTD. 110 SENGKANG EAST WAY  SINGAPORE 544886_x000D_ARTHUR CHENG KIM CHAI_x000D_TEL: 97861783_x000D_FAX: _x000D_EMAIL: arthur.cheng.k.c@singhealth.com.sg"</f>
        <v>ARTHUR CHENG KIM CHAI_x000D_SENGKANG GENERAL HOSPITAL PTE. LTD. 110 SENGKANG EAST WAY  SINGAPORE 544886_x000D_ARTHUR CHENG KIM CHAI_x000D_TEL: 97861783_x000D_FAX: _x000D_EMAIL: arthur.cheng.k.c@singhealth.com.sg</v>
      </c>
      <c r="AE28" s="44" t="s">
        <v>73</v>
      </c>
      <c r="AF28" s="44" t="s">
        <v>74</v>
      </c>
      <c r="AG28" s="3" t="str">
        <f>"MS7NQ-00300GLP"</f>
        <v>MS7NQ-00300GLP</v>
      </c>
      <c r="AH28" s="3" t="str">
        <f>"MS SQL SERVER STANDARD CORE SLNG LSA 2L"</f>
        <v>MS SQL SERVER STANDARD CORE SLNG LSA 2L</v>
      </c>
      <c r="AI28" s="3" t="s">
        <v>421</v>
      </c>
      <c r="AJ28" s="19" t="s">
        <v>429</v>
      </c>
      <c r="AK28" s="19" t="s">
        <v>423</v>
      </c>
      <c r="AL28" s="19" t="str">
        <f>"-"</f>
        <v>-</v>
      </c>
    </row>
    <row r="29" spans="1:38">
      <c r="A29" s="1" t="s">
        <v>166</v>
      </c>
      <c r="B29" s="1" t="str">
        <f t="shared" si="0"/>
        <v>Show</v>
      </c>
      <c r="C29" s="4" t="s">
        <v>43</v>
      </c>
      <c r="E29" s="11" t="str">
        <f>"""UICACS"","""",""SQL="",""2=DOCNUM"",""33041273"",""14=CUSTREF"",""4630053721"",""14=U_CUSTREF"",""4630053721"",""15=DOCDATE"",""31/12/2025"",""15=TAXDATE"",""31/12/2025"",""14=CARDCODE"",""CI1136-SGD"",""14=CARDNAME"",""NATIONAL CANCER CENTRE OF SINGAPORE PTE LTD"",""14=ITEMCODE"",""MSEP2-"&amp;"25063GLP"",""14=ITEMNAME"",""MS WIN REMOTE DESKTOP SERVICES CAL 2025 SLNG UCAL"",""10=QUANTITY"",""220.000000"",""14=U_PONO"",""961639/A"",""15=U_PODATE"",""30/12/2025"",""10=U_TLINTCOS"",""0.000000"",""2=SLPCODE"",""127"",""14=SLPNAME"",""E0001-GH"",""14=MEMO"",""MANZY TOH GUAN HUI"",""1"&amp;"4=CONTACTNAME"",""ACCOUNTS PAYABLE"",""10=LINETOTAL"",""32958.200000"",""14=U_ENR"","""",""14=U_MSENR"",""S7138270"",""14=U_MSPCN"",""A8AA53F5"",""14=ADDRESS2"",""GAN SOON ANN_x000D_NATIONAL CANCER CENTRE, 30 HOSPITAL BOULEVARD B2-56 OFFICE SINGAPORE 168583_x000D_MR GAN SOON ANN/KEVIN SAW"&amp;"_x000D_TEL: 98503525/63266295_x000D_FAX: kevin.saw.s.k@singhealth.com.sg_x000D_EMAIL: trdgsa@nccs.com.sg"""</f>
        <v>"UICACS","","SQL=","2=DOCNUM","33041273","14=CUSTREF","4630053721","14=U_CUSTREF","4630053721","15=DOCDATE","31/12/2025","15=TAXDATE","31/12/2025","14=CARDCODE","CI1136-SGD","14=CARDNAME","NATIONAL CANCER CENTRE OF SINGAPORE PTE LTD","14=ITEMCODE","MSEP2-25063GLP","14=ITEMNAME","MS WIN REMOTE DESKTOP SERVICES CAL 2025 SLNG UCAL","10=QUANTITY","220.000000","14=U_PONO","961639/A","15=U_PODATE","30/12/2025","10=U_TLINTCOS","0.000000","2=SLPCODE","127","14=SLPNAME","E0001-GH","14=MEMO","MANZY TOH GUAN HUI","14=CONTACTNAME","ACCOUNTS PAYABLE","10=LINETOTAL","32958.200000","14=U_ENR","","14=U_MSENR","S7138270","14=U_MSPCN","A8AA53F5","14=ADDRESS2","GAN SOON ANN_x000D_NATIONAL CANCER CENTRE, 30 HOSPITAL BOULEVARD B2-56 OFFICE SINGAPORE 168583_x000D_MR GAN SOON ANN/KEVIN SAW_x000D_TEL: 98503525/63266295_x000D_FAX: kevin.saw.s.k@singhealth.com.sg_x000D_EMAIL: trdgsa@nccs.com.sg"</v>
      </c>
      <c r="K29" s="19">
        <f>MONTH(N29)</f>
        <v>12</v>
      </c>
      <c r="L29" s="19">
        <f>YEAR(N29)</f>
        <v>2025</v>
      </c>
      <c r="M29" s="4">
        <v>33041273</v>
      </c>
      <c r="N29" s="30">
        <v>46022</v>
      </c>
      <c r="O29" s="19" t="str">
        <f>"S7138270"</f>
        <v>S7138270</v>
      </c>
      <c r="P29" s="19" t="str">
        <f>"A8AA53F5"</f>
        <v>A8AA53F5</v>
      </c>
      <c r="Q29" s="19"/>
      <c r="R29" s="19" t="str">
        <f>"CI1136-SGD"</f>
        <v>CI1136-SGD</v>
      </c>
      <c r="S29" s="4" t="str">
        <f>"NATIONAL CANCER CENTRE OF SINGAPORE PTE LTD"</f>
        <v>NATIONAL CANCER CENTRE OF SINGAPORE PTE LTD</v>
      </c>
      <c r="T29" s="19" t="str">
        <f>"4630053721"</f>
        <v>4630053721</v>
      </c>
      <c r="U29" s="40" t="str">
        <f>"961639/A"</f>
        <v>961639/A</v>
      </c>
      <c r="V29" s="40">
        <v>46021</v>
      </c>
      <c r="W29" s="40">
        <v>46022</v>
      </c>
      <c r="X29" s="41">
        <f>SUM(N29-V29)</f>
        <v>1</v>
      </c>
      <c r="Y29" s="42" t="str">
        <f>"MSEP2-25063GLP"</f>
        <v>MSEP2-25063GLP</v>
      </c>
      <c r="Z29" s="42" t="str">
        <f>"MS WIN REMOTE DESKTOP SERVICES CAL 2025 SLNG UCAL"</f>
        <v>MS WIN REMOTE DESKTOP SERVICES CAL 2025 SLNG UCAL</v>
      </c>
      <c r="AA29" s="42" t="str">
        <f>"MANZY TOH GUAN HUI"</f>
        <v>MANZY TOH GUAN HUI</v>
      </c>
      <c r="AB29" s="41">
        <v>220</v>
      </c>
      <c r="AC29" s="30" t="s">
        <v>72</v>
      </c>
      <c r="AD29" s="43" t="str">
        <f>"GAN SOON ANN_x000D_NATIONAL CANCER CENTRE, 30 HOSPITAL BOULEVARD B2-56 OFFICE SINGAPORE 168583_x000D_MR GAN SOON ANN/KEVIN SAW_x000D_TEL: 98503525/63266295_x000D_FAX: kevin.saw.s.k@singhealth.com.sg_x000D_EMAIL: trdgsa@nccs.com.sg"</f>
        <v>GAN SOON ANN_x000D_NATIONAL CANCER CENTRE, 30 HOSPITAL BOULEVARD B2-56 OFFICE SINGAPORE 168583_x000D_MR GAN SOON ANN/KEVIN SAW_x000D_TEL: 98503525/63266295_x000D_FAX: kevin.saw.s.k@singhealth.com.sg_x000D_EMAIL: trdgsa@nccs.com.sg</v>
      </c>
      <c r="AE29" s="44" t="s">
        <v>73</v>
      </c>
      <c r="AF29" s="44" t="s">
        <v>74</v>
      </c>
      <c r="AG29" s="3" t="str">
        <f>"MSEP2-25063GLP"</f>
        <v>MSEP2-25063GLP</v>
      </c>
      <c r="AH29" s="3" t="str">
        <f>"MS WIN REMOTE DESKTOP SERVICES CAL 2025 SLNG UCAL"</f>
        <v>MS WIN REMOTE DESKTOP SERVICES CAL 2025 SLNG UCAL</v>
      </c>
      <c r="AI29" s="3" t="s">
        <v>424</v>
      </c>
      <c r="AJ29" s="19" t="str">
        <f>"-"</f>
        <v>-</v>
      </c>
      <c r="AK29" s="19" t="str">
        <f>"-"</f>
        <v>-</v>
      </c>
      <c r="AL29" s="19" t="str">
        <f>"-"</f>
        <v>-</v>
      </c>
    </row>
    <row r="30" spans="1:38">
      <c r="A30" s="1" t="s">
        <v>166</v>
      </c>
      <c r="B30" s="1" t="str">
        <f t="shared" si="0"/>
        <v>Show</v>
      </c>
      <c r="C30" s="4" t="s">
        <v>43</v>
      </c>
      <c r="E30" s="11" t="str">
        <f>"""UICACS"","""",""SQL="",""2=DOCNUM"",""33041273"",""14=CUSTREF"",""4630053721"",""14=U_CUSTREF"",""4630053721"",""15=DOCDATE"",""31/12/2025"",""15=TAXDATE"",""31/12/2025"",""14=CARDCODE"",""CI1136-SGD"",""14=CARDNAME"",""NATIONAL CANCER CENTRE OF SINGAPORE PTE LTD"",""14=ITEMCODE"",""MS7JQ-"&amp;"00353GLP"",""14=ITEMNAME"",""MS SQL SERVER ENTERPRISE CORE SLNG LSA 2L"",""10=QUANTITY"",""28.000000"",""14=U_PONO"",""961639/A"",""15=U_PODATE"",""30/12/2025"",""10=U_TLINTCOS"",""0.000000"",""2=SLPCODE"",""127"",""14=SLPNAME"",""E0001-GH"",""14=MEMO"",""MANZY TOH GUAN HUI"",""14=CONTACT"&amp;"NAME"",""ACCOUNTS PAYABLE"",""10=LINETOTAL"",""616719.600000"",""14=U_ENR"","""",""14=U_MSENR"",""S7138270"",""14=U_MSPCN"",""A8AA53F5"",""14=ADDRESS2"",""GAN SOON ANN_x000D_NATIONAL CANCER CENTRE, 30 HOSPITAL BOULEVARD B2-56 OFFICE SINGAPORE 168583_x000D_MR GAN SOON ANN/KEVIN SAW_x000D_TEL: 98"&amp;"503525/63266295_x000D_FAX: kevin.saw.s.k@singhealth.com.sg_x000D_EMAIL: trdgsa@nccs.com.sg"""</f>
        <v>"UICACS","","SQL=","2=DOCNUM","33041273","14=CUSTREF","4630053721","14=U_CUSTREF","4630053721","15=DOCDATE","31/12/2025","15=TAXDATE","31/12/2025","14=CARDCODE","CI1136-SGD","14=CARDNAME","NATIONAL CANCER CENTRE OF SINGAPORE PTE LTD","14=ITEMCODE","MS7JQ-00353GLP","14=ITEMNAME","MS SQL SERVER ENTERPRISE CORE SLNG LSA 2L","10=QUANTITY","28.000000","14=U_PONO","961639/A","15=U_PODATE","30/12/2025","10=U_TLINTCOS","0.000000","2=SLPCODE","127","14=SLPNAME","E0001-GH","14=MEMO","MANZY TOH GUAN HUI","14=CONTACTNAME","ACCOUNTS PAYABLE","10=LINETOTAL","616719.600000","14=U_ENR","","14=U_MSENR","S7138270","14=U_MSPCN","A8AA53F5","14=ADDRESS2","GAN SOON ANN_x000D_NATIONAL CANCER CENTRE, 30 HOSPITAL BOULEVARD B2-56 OFFICE SINGAPORE 168583_x000D_MR GAN SOON ANN/KEVIN SAW_x000D_TEL: 98503525/63266295_x000D_FAX: kevin.saw.s.k@singhealth.com.sg_x000D_EMAIL: trdgsa@nccs.com.sg"</v>
      </c>
      <c r="K30" s="19">
        <f>MONTH(N30)</f>
        <v>12</v>
      </c>
      <c r="L30" s="19">
        <f>YEAR(N30)</f>
        <v>2025</v>
      </c>
      <c r="M30" s="4">
        <v>33041273</v>
      </c>
      <c r="N30" s="30">
        <v>46022</v>
      </c>
      <c r="O30" s="19" t="str">
        <f>"S7138270"</f>
        <v>S7138270</v>
      </c>
      <c r="P30" s="19" t="str">
        <f>"A8AA53F5"</f>
        <v>A8AA53F5</v>
      </c>
      <c r="Q30" s="19"/>
      <c r="R30" s="19" t="str">
        <f>"CI1136-SGD"</f>
        <v>CI1136-SGD</v>
      </c>
      <c r="S30" s="4" t="str">
        <f>"NATIONAL CANCER CENTRE OF SINGAPORE PTE LTD"</f>
        <v>NATIONAL CANCER CENTRE OF SINGAPORE PTE LTD</v>
      </c>
      <c r="T30" s="19" t="str">
        <f>"4630053721"</f>
        <v>4630053721</v>
      </c>
      <c r="U30" s="40" t="str">
        <f>"961639/A"</f>
        <v>961639/A</v>
      </c>
      <c r="V30" s="40">
        <v>46021</v>
      </c>
      <c r="W30" s="40">
        <v>46022</v>
      </c>
      <c r="X30" s="41">
        <f>SUM(N30-V30)</f>
        <v>1</v>
      </c>
      <c r="Y30" s="42" t="str">
        <f>"MS7JQ-00353GLP"</f>
        <v>MS7JQ-00353GLP</v>
      </c>
      <c r="Z30" s="42" t="str">
        <f>"MS SQL SERVER ENTERPRISE CORE SLNG LSA 2L"</f>
        <v>MS SQL SERVER ENTERPRISE CORE SLNG LSA 2L</v>
      </c>
      <c r="AA30" s="42" t="str">
        <f>"MANZY TOH GUAN HUI"</f>
        <v>MANZY TOH GUAN HUI</v>
      </c>
      <c r="AB30" s="41">
        <v>28</v>
      </c>
      <c r="AC30" s="30" t="s">
        <v>72</v>
      </c>
      <c r="AD30" s="43" t="str">
        <f>"GAN SOON ANN_x000D_NATIONAL CANCER CENTRE, 30 HOSPITAL BOULEVARD B2-56 OFFICE SINGAPORE 168583_x000D_MR GAN SOON ANN/KEVIN SAW_x000D_TEL: 98503525/63266295_x000D_FAX: kevin.saw.s.k@singhealth.com.sg_x000D_EMAIL: trdgsa@nccs.com.sg"</f>
        <v>GAN SOON ANN_x000D_NATIONAL CANCER CENTRE, 30 HOSPITAL BOULEVARD B2-56 OFFICE SINGAPORE 168583_x000D_MR GAN SOON ANN/KEVIN SAW_x000D_TEL: 98503525/63266295_x000D_FAX: kevin.saw.s.k@singhealth.com.sg_x000D_EMAIL: trdgsa@nccs.com.sg</v>
      </c>
      <c r="AE30" s="44" t="s">
        <v>73</v>
      </c>
      <c r="AF30" s="44" t="s">
        <v>74</v>
      </c>
      <c r="AG30" s="3" t="str">
        <f>"MS7JQ-00353GLP"</f>
        <v>MS7JQ-00353GLP</v>
      </c>
      <c r="AH30" s="3" t="str">
        <f>"MS SQL SERVER ENTERPRISE CORE SLNG LSA 2L"</f>
        <v>MS SQL SERVER ENTERPRISE CORE SLNG LSA 2L</v>
      </c>
      <c r="AI30" s="3" t="s">
        <v>421</v>
      </c>
      <c r="AJ30" s="19" t="s">
        <v>422</v>
      </c>
      <c r="AK30" s="19" t="s">
        <v>423</v>
      </c>
      <c r="AL30" s="19" t="str">
        <f>"-"</f>
        <v>-</v>
      </c>
    </row>
    <row r="31" spans="1:38">
      <c r="A31" s="1" t="s">
        <v>166</v>
      </c>
      <c r="B31" s="1" t="str">
        <f t="shared" si="0"/>
        <v>Show</v>
      </c>
      <c r="C31" s="4" t="s">
        <v>43</v>
      </c>
      <c r="E31" s="11" t="str">
        <f>"""UICACS"","""",""SQL="",""2=DOCNUM"",""33041273"",""14=CUSTREF"",""4630053721"",""14=U_CUSTREF"",""4630053721"",""15=DOCDATE"",""31/12/2025"",""15=TAXDATE"",""31/12/2025"",""14=CARDCODE"",""CI1136-SGD"",""14=CARDNAME"",""NATIONAL CANCER CENTRE OF SINGAPORE PTE LTD"",""14=ITEMCODE"",""MS9EA-"&amp;"00267GLP"",""14=ITEMNAME"",""MS WIN SERVER DC CORE SLNG LSA 2L"",""10=QUANTITY"",""96.000000"",""14=U_PONO"",""961639/A"",""15=U_PODATE"",""30/12/2025"",""10=U_TLINTCOS"",""0.000000"",""2=SLPCODE"",""127"",""14=SLPNAME"",""E0001-GH"",""14=MEMO"",""MANZY TOH GUAN HUI"",""14=CONTACTNAME"",""A"&amp;"CCOUNTS PAYABLE"",""10=LINETOTAL"",""118248.000000"",""14=U_ENR"","""",""14=U_MSENR"",""S7138270"",""14=U_MSPCN"",""A8AA53F5"",""14=ADDRESS2"",""GAN SOON ANN_x000D_NATIONAL CANCER CENTRE, 30 HOSPITAL BOULEVARD B2-56 OFFICE SINGAPORE 168583_x000D_MR GAN SOON ANN/KEVIN SAW_x000D_TEL: 98503525/6"&amp;"3266295_x000D_FAX: kevin.saw.s.k@singhealth.com.sg_x000D_EMAIL: trdgsa@nccs.com.sg"""</f>
        <v>"UICACS","","SQL=","2=DOCNUM","33041273","14=CUSTREF","4630053721","14=U_CUSTREF","4630053721","15=DOCDATE","31/12/2025","15=TAXDATE","31/12/2025","14=CARDCODE","CI1136-SGD","14=CARDNAME","NATIONAL CANCER CENTRE OF SINGAPORE PTE LTD","14=ITEMCODE","MS9EA-00267GLP","14=ITEMNAME","MS WIN SERVER DC CORE SLNG LSA 2L","10=QUANTITY","96.000000","14=U_PONO","961639/A","15=U_PODATE","30/12/2025","10=U_TLINTCOS","0.000000","2=SLPCODE","127","14=SLPNAME","E0001-GH","14=MEMO","MANZY TOH GUAN HUI","14=CONTACTNAME","ACCOUNTS PAYABLE","10=LINETOTAL","118248.000000","14=U_ENR","","14=U_MSENR","S7138270","14=U_MSPCN","A8AA53F5","14=ADDRESS2","GAN SOON ANN_x000D_NATIONAL CANCER CENTRE, 30 HOSPITAL BOULEVARD B2-56 OFFICE SINGAPORE 168583_x000D_MR GAN SOON ANN/KEVIN SAW_x000D_TEL: 98503525/63266295_x000D_FAX: kevin.saw.s.k@singhealth.com.sg_x000D_EMAIL: trdgsa@nccs.com.sg"</v>
      </c>
      <c r="K31" s="19">
        <f>MONTH(N31)</f>
        <v>12</v>
      </c>
      <c r="L31" s="19">
        <f>YEAR(N31)</f>
        <v>2025</v>
      </c>
      <c r="M31" s="4">
        <v>33041273</v>
      </c>
      <c r="N31" s="30">
        <v>46022</v>
      </c>
      <c r="O31" s="19" t="str">
        <f>"S7138270"</f>
        <v>S7138270</v>
      </c>
      <c r="P31" s="19" t="str">
        <f>"A8AA53F5"</f>
        <v>A8AA53F5</v>
      </c>
      <c r="Q31" s="19"/>
      <c r="R31" s="19" t="str">
        <f>"CI1136-SGD"</f>
        <v>CI1136-SGD</v>
      </c>
      <c r="S31" s="4" t="str">
        <f>"NATIONAL CANCER CENTRE OF SINGAPORE PTE LTD"</f>
        <v>NATIONAL CANCER CENTRE OF SINGAPORE PTE LTD</v>
      </c>
      <c r="T31" s="19" t="str">
        <f>"4630053721"</f>
        <v>4630053721</v>
      </c>
      <c r="U31" s="40" t="str">
        <f>"961639/A"</f>
        <v>961639/A</v>
      </c>
      <c r="V31" s="40">
        <v>46021</v>
      </c>
      <c r="W31" s="40">
        <v>46022</v>
      </c>
      <c r="X31" s="41">
        <f>SUM(N31-V31)</f>
        <v>1</v>
      </c>
      <c r="Y31" s="42" t="str">
        <f>"MS9EA-00267GLP"</f>
        <v>MS9EA-00267GLP</v>
      </c>
      <c r="Z31" s="42" t="str">
        <f>"MS WIN SERVER DC CORE SLNG LSA 2L"</f>
        <v>MS WIN SERVER DC CORE SLNG LSA 2L</v>
      </c>
      <c r="AA31" s="42" t="str">
        <f>"MANZY TOH GUAN HUI"</f>
        <v>MANZY TOH GUAN HUI</v>
      </c>
      <c r="AB31" s="41">
        <v>96</v>
      </c>
      <c r="AC31" s="30" t="s">
        <v>72</v>
      </c>
      <c r="AD31" s="43" t="str">
        <f>"GAN SOON ANN_x000D_NATIONAL CANCER CENTRE, 30 HOSPITAL BOULEVARD B2-56 OFFICE SINGAPORE 168583_x000D_MR GAN SOON ANN/KEVIN SAW_x000D_TEL: 98503525/63266295_x000D_FAX: kevin.saw.s.k@singhealth.com.sg_x000D_EMAIL: trdgsa@nccs.com.sg"</f>
        <v>GAN SOON ANN_x000D_NATIONAL CANCER CENTRE, 30 HOSPITAL BOULEVARD B2-56 OFFICE SINGAPORE 168583_x000D_MR GAN SOON ANN/KEVIN SAW_x000D_TEL: 98503525/63266295_x000D_FAX: kevin.saw.s.k@singhealth.com.sg_x000D_EMAIL: trdgsa@nccs.com.sg</v>
      </c>
      <c r="AE31" s="44" t="s">
        <v>73</v>
      </c>
      <c r="AF31" s="44" t="s">
        <v>74</v>
      </c>
      <c r="AG31" s="3" t="str">
        <f>"MS9EA-00267GLP"</f>
        <v>MS9EA-00267GLP</v>
      </c>
      <c r="AH31" s="3" t="str">
        <f>"MS WIN SERVER DC CORE SLNG LSA 2L"</f>
        <v>MS WIN SERVER DC CORE SLNG LSA 2L</v>
      </c>
      <c r="AI31" s="3" t="s">
        <v>421</v>
      </c>
      <c r="AJ31" s="19" t="s">
        <v>422</v>
      </c>
      <c r="AK31" s="19" t="s">
        <v>423</v>
      </c>
      <c r="AL31" s="19" t="str">
        <f>"-"</f>
        <v>-</v>
      </c>
    </row>
    <row r="32" spans="1:38">
      <c r="A32" s="1" t="s">
        <v>166</v>
      </c>
      <c r="B32" s="1" t="str">
        <f t="shared" si="0"/>
        <v>Show</v>
      </c>
      <c r="C32" s="4" t="s">
        <v>43</v>
      </c>
      <c r="E32" s="11" t="str">
        <f>"""UICACS"","""",""SQL="",""2=DOCNUM"",""33041273"",""14=CUSTREF"",""4630053721"",""14=U_CUSTREF"",""4630053721"",""15=DOCDATE"",""31/12/2025"",""15=TAXDATE"",""31/12/2025"",""14=CARDCODE"",""CI1136-SGD"",""14=CARDNAME"",""NATIONAL CANCER CENTRE OF SINGAPORE PTE LTD"",""14=ITEMCODE"",""MS9EA-"&amp;"00267GLP"",""14=ITEMNAME"",""MS WIN SERVER DC CORE SLNG LSA 2L"",""10=QUANTITY"",""72.000000"",""14=U_PONO"",""961639/A"",""15=U_PODATE"",""30/12/2025"",""10=U_TLINTCOS"",""0.000000"",""2=SLPCODE"",""127"",""14=SLPNAME"",""E0001-GH"",""14=MEMO"",""MANZY TOH GUAN HUI"",""14=CONTACTNAME"",""A"&amp;"CCOUNTS PAYABLE"",""10=LINETOTAL"",""89600.400000"",""14=U_ENR"","""",""14=U_MSENR"",""S7138270"",""14=U_MSPCN"",""A8AA53F5"",""14=ADDRESS2"",""GAN SOON ANN_x000D_NATIONAL CANCER CENTRE, 30 HOSPITAL BOULEVARD B2-56 OFFICE SINGAPORE 168583_x000D_MR GAN SOON ANN/KEVIN SAW_x000D_TEL: 98503525/63"&amp;"266295_x000D_FAX: kevin.saw.s.k@singhealth.com.sg_x000D_EMAIL: trdgsa@nccs.com.sg"""</f>
        <v>"UICACS","","SQL=","2=DOCNUM","33041273","14=CUSTREF","4630053721","14=U_CUSTREF","4630053721","15=DOCDATE","31/12/2025","15=TAXDATE","31/12/2025","14=CARDCODE","CI1136-SGD","14=CARDNAME","NATIONAL CANCER CENTRE OF SINGAPORE PTE LTD","14=ITEMCODE","MS9EA-00267GLP","14=ITEMNAME","MS WIN SERVER DC CORE SLNG LSA 2L","10=QUANTITY","72.000000","14=U_PONO","961639/A","15=U_PODATE","30/12/2025","10=U_TLINTCOS","0.000000","2=SLPCODE","127","14=SLPNAME","E0001-GH","14=MEMO","MANZY TOH GUAN HUI","14=CONTACTNAME","ACCOUNTS PAYABLE","10=LINETOTAL","89600.400000","14=U_ENR","","14=U_MSENR","S7138270","14=U_MSPCN","A8AA53F5","14=ADDRESS2","GAN SOON ANN_x000D_NATIONAL CANCER CENTRE, 30 HOSPITAL BOULEVARD B2-56 OFFICE SINGAPORE 168583_x000D_MR GAN SOON ANN/KEVIN SAW_x000D_TEL: 98503525/63266295_x000D_FAX: kevin.saw.s.k@singhealth.com.sg_x000D_EMAIL: trdgsa@nccs.com.sg"</v>
      </c>
      <c r="K32" s="19">
        <f>MONTH(N32)</f>
        <v>12</v>
      </c>
      <c r="L32" s="19">
        <f>YEAR(N32)</f>
        <v>2025</v>
      </c>
      <c r="M32" s="4">
        <v>33041273</v>
      </c>
      <c r="N32" s="30">
        <v>46022</v>
      </c>
      <c r="O32" s="19" t="str">
        <f>"S7138270"</f>
        <v>S7138270</v>
      </c>
      <c r="P32" s="19" t="str">
        <f>"A8AA53F5"</f>
        <v>A8AA53F5</v>
      </c>
      <c r="Q32" s="19"/>
      <c r="R32" s="19" t="str">
        <f>"CI1136-SGD"</f>
        <v>CI1136-SGD</v>
      </c>
      <c r="S32" s="4" t="str">
        <f>"NATIONAL CANCER CENTRE OF SINGAPORE PTE LTD"</f>
        <v>NATIONAL CANCER CENTRE OF SINGAPORE PTE LTD</v>
      </c>
      <c r="T32" s="19" t="str">
        <f>"4630053721"</f>
        <v>4630053721</v>
      </c>
      <c r="U32" s="40" t="str">
        <f>"961639/A"</f>
        <v>961639/A</v>
      </c>
      <c r="V32" s="40">
        <v>46021</v>
      </c>
      <c r="W32" s="40">
        <v>46022</v>
      </c>
      <c r="X32" s="41">
        <f>SUM(N32-V32)</f>
        <v>1</v>
      </c>
      <c r="Y32" s="42" t="str">
        <f>"MS9EA-00267GLP"</f>
        <v>MS9EA-00267GLP</v>
      </c>
      <c r="Z32" s="42" t="str">
        <f>"MS WIN SERVER DC CORE SLNG LSA 2L"</f>
        <v>MS WIN SERVER DC CORE SLNG LSA 2L</v>
      </c>
      <c r="AA32" s="42" t="str">
        <f>"MANZY TOH GUAN HUI"</f>
        <v>MANZY TOH GUAN HUI</v>
      </c>
      <c r="AB32" s="41">
        <v>72</v>
      </c>
      <c r="AC32" s="30" t="s">
        <v>72</v>
      </c>
      <c r="AD32" s="43" t="str">
        <f>"GAN SOON ANN_x000D_NATIONAL CANCER CENTRE, 30 HOSPITAL BOULEVARD B2-56 OFFICE SINGAPORE 168583_x000D_MR GAN SOON ANN/KEVIN SAW_x000D_TEL: 98503525/63266295_x000D_FAX: kevin.saw.s.k@singhealth.com.sg_x000D_EMAIL: trdgsa@nccs.com.sg"</f>
        <v>GAN SOON ANN_x000D_NATIONAL CANCER CENTRE, 30 HOSPITAL BOULEVARD B2-56 OFFICE SINGAPORE 168583_x000D_MR GAN SOON ANN/KEVIN SAW_x000D_TEL: 98503525/63266295_x000D_FAX: kevin.saw.s.k@singhealth.com.sg_x000D_EMAIL: trdgsa@nccs.com.sg</v>
      </c>
      <c r="AE32" s="44" t="s">
        <v>73</v>
      </c>
      <c r="AF32" s="44" t="s">
        <v>74</v>
      </c>
      <c r="AG32" s="3" t="str">
        <f>"MS9EA-00267GLP"</f>
        <v>MS9EA-00267GLP</v>
      </c>
      <c r="AH32" s="3" t="str">
        <f>"MS WIN SERVER DC CORE SLNG LSA 2L"</f>
        <v>MS WIN SERVER DC CORE SLNG LSA 2L</v>
      </c>
      <c r="AI32" s="3" t="s">
        <v>421</v>
      </c>
      <c r="AJ32" s="19" t="s">
        <v>422</v>
      </c>
      <c r="AK32" s="19" t="s">
        <v>423</v>
      </c>
      <c r="AL32" s="19" t="str">
        <f>"-"</f>
        <v>-</v>
      </c>
    </row>
    <row r="33" spans="2:43" hidden="1">
      <c r="B33" s="1" t="str">
        <f>IF(K33="","Hide","Show")</f>
        <v>Hide</v>
      </c>
      <c r="C33" s="4" t="s">
        <v>44</v>
      </c>
      <c r="E33" s="11" t="str">
        <f>""</f>
        <v/>
      </c>
      <c r="K33" s="4" t="str">
        <f>""</f>
        <v/>
      </c>
      <c r="L33" s="30" t="str">
        <f>""</f>
        <v/>
      </c>
      <c r="M33" s="4" t="str">
        <f>""</f>
        <v/>
      </c>
      <c r="N33" s="4" t="str">
        <f>""</f>
        <v/>
      </c>
      <c r="O33" s="4" t="str">
        <f>""</f>
        <v/>
      </c>
      <c r="P33" s="4" t="str">
        <f>""</f>
        <v/>
      </c>
      <c r="Q33" s="3" t="str">
        <f>""</f>
        <v/>
      </c>
      <c r="R33" s="5"/>
      <c r="S33" s="4" t="str">
        <f>""</f>
        <v/>
      </c>
      <c r="T33" s="4" t="str">
        <f>""</f>
        <v/>
      </c>
      <c r="V33" s="4" t="str">
        <f>""</f>
        <v/>
      </c>
      <c r="W33" s="17" t="str">
        <f>""</f>
        <v/>
      </c>
      <c r="X33" s="4" t="str">
        <f>""</f>
        <v/>
      </c>
      <c r="Y33" s="16" t="str">
        <f>""</f>
        <v/>
      </c>
      <c r="Z33" s="5" t="str">
        <f>""</f>
        <v/>
      </c>
      <c r="AA33" s="4" t="str">
        <f>""</f>
        <v/>
      </c>
      <c r="AB33" s="44">
        <f>IFERROR(#REF!/W33,0)</f>
        <v>0</v>
      </c>
    </row>
    <row r="34" spans="2:43" hidden="1">
      <c r="B34" s="1" t="str">
        <f>IF(K34="","Hide","Show")</f>
        <v>Hide</v>
      </c>
      <c r="C34" s="4" t="s">
        <v>45</v>
      </c>
      <c r="E34" s="11" t="str">
        <f>""</f>
        <v/>
      </c>
      <c r="K34" s="4" t="str">
        <f>""</f>
        <v/>
      </c>
      <c r="L34" s="30" t="str">
        <f>""</f>
        <v/>
      </c>
      <c r="M34" s="4" t="str">
        <f>""</f>
        <v/>
      </c>
      <c r="N34" s="4" t="str">
        <f>""</f>
        <v/>
      </c>
      <c r="O34" s="4" t="str">
        <f>""</f>
        <v/>
      </c>
      <c r="P34" s="4" t="str">
        <f>""</f>
        <v/>
      </c>
      <c r="Q34" s="3" t="str">
        <f>""</f>
        <v/>
      </c>
      <c r="R34" s="5"/>
      <c r="S34" s="4" t="str">
        <f>""</f>
        <v/>
      </c>
      <c r="T34" s="4" t="str">
        <f>""</f>
        <v/>
      </c>
      <c r="V34" s="4" t="str">
        <f>""</f>
        <v/>
      </c>
      <c r="W34" s="17" t="str">
        <f>""</f>
        <v/>
      </c>
      <c r="X34" s="4" t="str">
        <f>""</f>
        <v/>
      </c>
      <c r="Y34" s="16" t="str">
        <f>""</f>
        <v/>
      </c>
      <c r="Z34" s="5" t="str">
        <f>""</f>
        <v/>
      </c>
      <c r="AA34" s="4" t="str">
        <f>""</f>
        <v/>
      </c>
      <c r="AB34" s="44">
        <f>IFERROR(#REF!/W34,0)</f>
        <v>0</v>
      </c>
    </row>
    <row r="35" spans="2:43">
      <c r="AB35" s="31"/>
    </row>
    <row r="36" spans="2:43">
      <c r="AM36" s="14"/>
    </row>
    <row r="37" spans="2:43">
      <c r="AN37" s="14"/>
    </row>
    <row r="38" spans="2:43">
      <c r="AO38" s="14"/>
    </row>
    <row r="39" spans="2:43">
      <c r="AP39" s="14"/>
    </row>
    <row r="40" spans="2:43">
      <c r="AQ40" s="14"/>
    </row>
  </sheetData>
  <sortState xmlns:xlrd2="http://schemas.microsoft.com/office/spreadsheetml/2017/richdata2" ref="K24:AB24">
    <sortCondition ref="N24"/>
  </sortState>
  <mergeCells count="1">
    <mergeCell ref="K21:AA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17852-5CFC-4F6B-A694-0A65C14A8F52}">
  <dimension ref="A1:B8"/>
  <sheetViews>
    <sheetView topLeftCell="B2" workbookViewId="0">
      <selection activeCell="B8" sqref="B8"/>
    </sheetView>
  </sheetViews>
  <sheetFormatPr defaultRowHeight="15"/>
  <cols>
    <col min="1" max="1" width="8.85546875" hidden="1" customWidth="1"/>
    <col min="2" max="2" width="13.42578125" customWidth="1"/>
  </cols>
  <sheetData>
    <row r="1" spans="1:2" hidden="1">
      <c r="A1" t="s">
        <v>76</v>
      </c>
    </row>
    <row r="5" spans="1:2">
      <c r="B5" s="45" t="s">
        <v>75</v>
      </c>
    </row>
    <row r="7" spans="1:2">
      <c r="B7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8" spans="1:2">
      <c r="B8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020C-E21E-4C78-8DE7-07398900ACA9}">
  <dimension ref="A1:E30"/>
  <sheetViews>
    <sheetView workbookViewId="0"/>
  </sheetViews>
  <sheetFormatPr defaultRowHeight="15"/>
  <sheetData>
    <row r="1" spans="1:5">
      <c r="A1" s="46" t="s">
        <v>87</v>
      </c>
      <c r="B1" s="46" t="s">
        <v>1</v>
      </c>
      <c r="C1" s="46" t="s">
        <v>2</v>
      </c>
      <c r="D1" s="46" t="s">
        <v>3</v>
      </c>
    </row>
    <row r="2" spans="1:5">
      <c r="B2" s="46" t="s">
        <v>18</v>
      </c>
      <c r="C2" s="46" t="s">
        <v>4</v>
      </c>
    </row>
    <row r="3" spans="1:5">
      <c r="A3" s="46" t="s">
        <v>0</v>
      </c>
      <c r="B3" s="46" t="s">
        <v>5</v>
      </c>
      <c r="C3" s="46" t="s">
        <v>402</v>
      </c>
    </row>
    <row r="4" spans="1:5">
      <c r="A4" s="46" t="s">
        <v>0</v>
      </c>
      <c r="B4" s="46" t="s">
        <v>6</v>
      </c>
      <c r="C4" s="46" t="s">
        <v>403</v>
      </c>
    </row>
    <row r="5" spans="1:5">
      <c r="A5" s="46" t="s">
        <v>0</v>
      </c>
      <c r="B5" s="46" t="s">
        <v>25</v>
      </c>
      <c r="C5" s="46" t="s">
        <v>77</v>
      </c>
      <c r="D5" s="46" t="s">
        <v>78</v>
      </c>
      <c r="E5" s="46" t="s">
        <v>51</v>
      </c>
    </row>
    <row r="8" spans="1:5">
      <c r="A8" s="46" t="s">
        <v>8</v>
      </c>
      <c r="C8" s="46" t="s">
        <v>79</v>
      </c>
    </row>
    <row r="9" spans="1:5">
      <c r="A9" s="46" t="s">
        <v>9</v>
      </c>
      <c r="C9" s="46" t="s">
        <v>80</v>
      </c>
    </row>
    <row r="10" spans="1:5">
      <c r="B10" s="46" t="s">
        <v>37</v>
      </c>
      <c r="C10" s="46" t="s">
        <v>81</v>
      </c>
    </row>
    <row r="11" spans="1:5">
      <c r="B11" s="46" t="s">
        <v>35</v>
      </c>
      <c r="C11" s="46" t="s">
        <v>81</v>
      </c>
    </row>
    <row r="12" spans="1:5">
      <c r="B12" s="46" t="s">
        <v>38</v>
      </c>
      <c r="C12" s="46" t="s">
        <v>82</v>
      </c>
    </row>
    <row r="13" spans="1:5">
      <c r="B13" s="46" t="s">
        <v>39</v>
      </c>
      <c r="C13" s="46" t="s">
        <v>83</v>
      </c>
      <c r="D13" s="46" t="s">
        <v>84</v>
      </c>
    </row>
    <row r="14" spans="1:5">
      <c r="D14" s="46" t="s">
        <v>85</v>
      </c>
    </row>
    <row r="15" spans="1:5">
      <c r="D15" s="46" t="s">
        <v>52</v>
      </c>
    </row>
    <row r="28" spans="3:4">
      <c r="C28" s="46" t="s">
        <v>53</v>
      </c>
      <c r="D28" s="46" t="s">
        <v>52</v>
      </c>
    </row>
    <row r="29" spans="3:4">
      <c r="D29" s="46" t="s">
        <v>84</v>
      </c>
    </row>
    <row r="30" spans="3:4">
      <c r="D30" s="46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A4F6-AA5C-4E59-8238-82855A73E5FE}">
  <dimension ref="A1:E30"/>
  <sheetViews>
    <sheetView workbookViewId="0"/>
  </sheetViews>
  <sheetFormatPr defaultRowHeight="15"/>
  <sheetData>
    <row r="1" spans="1:5">
      <c r="A1" s="46" t="s">
        <v>87</v>
      </c>
      <c r="B1" s="46" t="s">
        <v>1</v>
      </c>
      <c r="C1" s="46" t="s">
        <v>2</v>
      </c>
      <c r="D1" s="46" t="s">
        <v>3</v>
      </c>
    </row>
    <row r="2" spans="1:5">
      <c r="B2" s="46" t="s">
        <v>18</v>
      </c>
      <c r="C2" s="46" t="s">
        <v>4</v>
      </c>
    </row>
    <row r="3" spans="1:5">
      <c r="A3" s="46" t="s">
        <v>0</v>
      </c>
      <c r="B3" s="46" t="s">
        <v>5</v>
      </c>
      <c r="C3" s="46" t="s">
        <v>402</v>
      </c>
    </row>
    <row r="4" spans="1:5">
      <c r="A4" s="46" t="s">
        <v>0</v>
      </c>
      <c r="B4" s="46" t="s">
        <v>6</v>
      </c>
      <c r="C4" s="46" t="s">
        <v>403</v>
      </c>
    </row>
    <row r="5" spans="1:5">
      <c r="A5" s="46" t="s">
        <v>0</v>
      </c>
      <c r="B5" s="46" t="s">
        <v>25</v>
      </c>
      <c r="C5" s="46" t="s">
        <v>77</v>
      </c>
      <c r="D5" s="46" t="s">
        <v>78</v>
      </c>
      <c r="E5" s="46" t="s">
        <v>51</v>
      </c>
    </row>
    <row r="8" spans="1:5">
      <c r="A8" s="46" t="s">
        <v>8</v>
      </c>
      <c r="C8" s="46" t="s">
        <v>79</v>
      </c>
    </row>
    <row r="9" spans="1:5">
      <c r="A9" s="46" t="s">
        <v>9</v>
      </c>
      <c r="C9" s="46" t="s">
        <v>80</v>
      </c>
    </row>
    <row r="10" spans="1:5">
      <c r="B10" s="46" t="s">
        <v>37</v>
      </c>
      <c r="C10" s="46" t="s">
        <v>81</v>
      </c>
    </row>
    <row r="11" spans="1:5">
      <c r="B11" s="46" t="s">
        <v>35</v>
      </c>
      <c r="C11" s="46" t="s">
        <v>81</v>
      </c>
    </row>
    <row r="12" spans="1:5">
      <c r="B12" s="46" t="s">
        <v>38</v>
      </c>
      <c r="C12" s="46" t="s">
        <v>82</v>
      </c>
    </row>
    <row r="13" spans="1:5">
      <c r="B13" s="46" t="s">
        <v>39</v>
      </c>
      <c r="C13" s="46" t="s">
        <v>83</v>
      </c>
      <c r="D13" s="46" t="s">
        <v>84</v>
      </c>
    </row>
    <row r="14" spans="1:5">
      <c r="D14" s="46" t="s">
        <v>85</v>
      </c>
    </row>
    <row r="15" spans="1:5">
      <c r="D15" s="46" t="s">
        <v>52</v>
      </c>
    </row>
    <row r="28" spans="3:4">
      <c r="C28" s="46" t="s">
        <v>53</v>
      </c>
      <c r="D28" s="46" t="s">
        <v>52</v>
      </c>
    </row>
    <row r="29" spans="3:4">
      <c r="D29" s="46" t="s">
        <v>84</v>
      </c>
    </row>
    <row r="30" spans="3:4">
      <c r="D30" s="46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4E420-1081-4367-8712-55FB380D588C}">
  <dimension ref="A1:AP28"/>
  <sheetViews>
    <sheetView workbookViewId="0"/>
  </sheetViews>
  <sheetFormatPr defaultRowHeight="15"/>
  <sheetData>
    <row r="1" spans="1:35">
      <c r="A1" s="46" t="s">
        <v>165</v>
      </c>
      <c r="B1" s="46" t="s">
        <v>41</v>
      </c>
      <c r="C1" s="46" t="s">
        <v>7</v>
      </c>
      <c r="D1" s="46" t="s">
        <v>7</v>
      </c>
      <c r="E1" s="46" t="s">
        <v>7</v>
      </c>
      <c r="F1" s="46" t="s">
        <v>7</v>
      </c>
      <c r="G1" s="46" t="s">
        <v>7</v>
      </c>
      <c r="H1" s="46" t="s">
        <v>7</v>
      </c>
      <c r="I1" s="46" t="s">
        <v>7</v>
      </c>
      <c r="J1" s="46" t="s">
        <v>48</v>
      </c>
      <c r="K1" s="46" t="s">
        <v>17</v>
      </c>
      <c r="L1" s="46" t="s">
        <v>17</v>
      </c>
      <c r="M1" s="46" t="s">
        <v>17</v>
      </c>
      <c r="N1" s="46" t="s">
        <v>17</v>
      </c>
      <c r="O1" s="46" t="s">
        <v>17</v>
      </c>
      <c r="P1" s="46" t="s">
        <v>17</v>
      </c>
      <c r="Q1" s="46" t="s">
        <v>17</v>
      </c>
      <c r="R1" s="46" t="s">
        <v>17</v>
      </c>
      <c r="S1" s="46" t="s">
        <v>17</v>
      </c>
      <c r="T1" s="46" t="s">
        <v>17</v>
      </c>
      <c r="V1" s="46" t="s">
        <v>17</v>
      </c>
      <c r="W1" s="46" t="s">
        <v>17</v>
      </c>
      <c r="X1" s="46" t="s">
        <v>17</v>
      </c>
      <c r="Y1" s="46" t="s">
        <v>7</v>
      </c>
      <c r="Z1" s="46" t="s">
        <v>7</v>
      </c>
      <c r="AA1" s="46" t="s">
        <v>17</v>
      </c>
      <c r="AB1" s="46" t="s">
        <v>17</v>
      </c>
      <c r="AC1" s="46" t="s">
        <v>17</v>
      </c>
      <c r="AH1" s="46" t="s">
        <v>7</v>
      </c>
      <c r="AI1" s="46" t="s">
        <v>7</v>
      </c>
    </row>
    <row r="2" spans="1:35">
      <c r="A2" s="46" t="s">
        <v>7</v>
      </c>
      <c r="D2" s="46" t="s">
        <v>18</v>
      </c>
      <c r="E2" s="46" t="s">
        <v>88</v>
      </c>
    </row>
    <row r="3" spans="1:35">
      <c r="A3" s="46" t="s">
        <v>7</v>
      </c>
      <c r="D3" s="46" t="s">
        <v>21</v>
      </c>
      <c r="E3" s="46" t="s">
        <v>19</v>
      </c>
      <c r="F3" s="46" t="s">
        <v>20</v>
      </c>
      <c r="G3" s="46" t="s">
        <v>22</v>
      </c>
      <c r="H3" s="46" t="s">
        <v>42</v>
      </c>
      <c r="I3" s="46" t="s">
        <v>23</v>
      </c>
    </row>
    <row r="4" spans="1:35">
      <c r="A4" s="46" t="s">
        <v>7</v>
      </c>
      <c r="C4" s="46" t="s">
        <v>11</v>
      </c>
      <c r="D4" s="46" t="s">
        <v>89</v>
      </c>
      <c r="E4" s="46" t="s">
        <v>90</v>
      </c>
      <c r="F4" s="46" t="s">
        <v>46</v>
      </c>
      <c r="G4" s="46" t="s">
        <v>24</v>
      </c>
      <c r="H4" s="46" t="s">
        <v>91</v>
      </c>
    </row>
    <row r="5" spans="1:35">
      <c r="A5" s="46" t="s">
        <v>7</v>
      </c>
      <c r="C5" s="46" t="s">
        <v>10</v>
      </c>
      <c r="D5" s="46" t="s">
        <v>92</v>
      </c>
      <c r="E5" s="46" t="s">
        <v>93</v>
      </c>
      <c r="F5" s="46" t="s">
        <v>47</v>
      </c>
      <c r="G5" s="46" t="s">
        <v>24</v>
      </c>
      <c r="H5" s="46" t="s">
        <v>91</v>
      </c>
      <c r="I5" s="46" t="s">
        <v>94</v>
      </c>
    </row>
    <row r="6" spans="1:35">
      <c r="A6" s="46" t="s">
        <v>7</v>
      </c>
      <c r="C6" s="46" t="s">
        <v>36</v>
      </c>
      <c r="D6" s="46" t="s">
        <v>95</v>
      </c>
      <c r="E6" s="46" t="s">
        <v>96</v>
      </c>
      <c r="F6" s="46" t="s">
        <v>47</v>
      </c>
      <c r="G6" s="46" t="s">
        <v>24</v>
      </c>
      <c r="H6" s="46" t="s">
        <v>91</v>
      </c>
      <c r="I6" s="46" t="s">
        <v>97</v>
      </c>
    </row>
    <row r="7" spans="1:35">
      <c r="A7" s="46" t="s">
        <v>7</v>
      </c>
    </row>
    <row r="8" spans="1:35">
      <c r="A8" s="46" t="s">
        <v>7</v>
      </c>
    </row>
    <row r="9" spans="1:35">
      <c r="A9" s="46" t="s">
        <v>7</v>
      </c>
    </row>
    <row r="10" spans="1:35">
      <c r="A10" s="46" t="s">
        <v>7</v>
      </c>
    </row>
    <row r="11" spans="1:35">
      <c r="A11" s="46" t="s">
        <v>7</v>
      </c>
      <c r="C11" s="46" t="s">
        <v>26</v>
      </c>
      <c r="E11" s="46" t="s">
        <v>98</v>
      </c>
    </row>
    <row r="12" spans="1:35">
      <c r="A12" s="46" t="s">
        <v>7</v>
      </c>
      <c r="C12" s="46" t="s">
        <v>27</v>
      </c>
      <c r="E12" s="46" t="s">
        <v>99</v>
      </c>
    </row>
    <row r="13" spans="1:35">
      <c r="A13" s="46" t="s">
        <v>7</v>
      </c>
      <c r="C13" s="46" t="s">
        <v>37</v>
      </c>
      <c r="E13" s="46" t="s">
        <v>100</v>
      </c>
    </row>
    <row r="14" spans="1:35">
      <c r="A14" s="46" t="s">
        <v>7</v>
      </c>
      <c r="C14" s="46" t="s">
        <v>35</v>
      </c>
      <c r="E14" s="46" t="s">
        <v>101</v>
      </c>
    </row>
    <row r="15" spans="1:35">
      <c r="A15" s="46" t="s">
        <v>7</v>
      </c>
      <c r="C15" s="46" t="s">
        <v>38</v>
      </c>
      <c r="E15" s="46" t="s">
        <v>102</v>
      </c>
    </row>
    <row r="16" spans="1:35">
      <c r="A16" s="46" t="s">
        <v>7</v>
      </c>
      <c r="C16" s="46" t="s">
        <v>39</v>
      </c>
      <c r="E16" s="46" t="s">
        <v>103</v>
      </c>
    </row>
    <row r="17" spans="1:42">
      <c r="A17" s="46" t="s">
        <v>7</v>
      </c>
    </row>
    <row r="18" spans="1:42">
      <c r="A18" s="46" t="s">
        <v>7</v>
      </c>
    </row>
    <row r="21" spans="1:42">
      <c r="K21" s="46" t="s">
        <v>40</v>
      </c>
    </row>
    <row r="23" spans="1:42">
      <c r="E23" s="46" t="s">
        <v>28</v>
      </c>
      <c r="K23" s="46" t="s">
        <v>54</v>
      </c>
      <c r="L23" s="46" t="s">
        <v>55</v>
      </c>
      <c r="M23" s="46" t="s">
        <v>14</v>
      </c>
      <c r="N23" s="46" t="s">
        <v>15</v>
      </c>
      <c r="O23" s="46" t="s">
        <v>29</v>
      </c>
      <c r="P23" s="46" t="s">
        <v>56</v>
      </c>
      <c r="Q23" s="46" t="s">
        <v>57</v>
      </c>
      <c r="R23" s="46" t="s">
        <v>30</v>
      </c>
      <c r="S23" s="46" t="s">
        <v>34</v>
      </c>
      <c r="T23" s="46" t="s">
        <v>32</v>
      </c>
      <c r="U23" s="46" t="s">
        <v>223</v>
      </c>
      <c r="V23" s="46" t="s">
        <v>16</v>
      </c>
      <c r="W23" s="46" t="s">
        <v>58</v>
      </c>
      <c r="X23" s="46" t="s">
        <v>59</v>
      </c>
      <c r="Y23" s="46" t="s">
        <v>33</v>
      </c>
      <c r="Z23" s="46" t="s">
        <v>12</v>
      </c>
      <c r="AA23" s="46" t="s">
        <v>31</v>
      </c>
      <c r="AB23" s="46" t="s">
        <v>13</v>
      </c>
      <c r="AC23" s="46" t="s">
        <v>49</v>
      </c>
      <c r="AD23" s="46" t="s">
        <v>50</v>
      </c>
      <c r="AE23" s="46" t="s">
        <v>60</v>
      </c>
      <c r="AF23" s="46" t="s">
        <v>61</v>
      </c>
      <c r="AG23" s="46" t="s">
        <v>62</v>
      </c>
      <c r="AH23" s="46" t="s">
        <v>63</v>
      </c>
      <c r="AI23" s="46" t="s">
        <v>64</v>
      </c>
      <c r="AJ23" s="46" t="s">
        <v>65</v>
      </c>
      <c r="AK23" s="46" t="s">
        <v>66</v>
      </c>
      <c r="AL23" s="46" t="s">
        <v>67</v>
      </c>
      <c r="AM23" s="46" t="s">
        <v>68</v>
      </c>
      <c r="AN23" s="46" t="s">
        <v>69</v>
      </c>
      <c r="AO23" s="46" t="s">
        <v>70</v>
      </c>
      <c r="AP23" s="46" t="s">
        <v>71</v>
      </c>
    </row>
    <row r="24" spans="1:42">
      <c r="B24" s="46" t="s">
        <v>104</v>
      </c>
      <c r="C24" s="46" t="s">
        <v>43</v>
      </c>
      <c r="E24" s="46" t="s">
        <v>105</v>
      </c>
      <c r="K24" s="46" t="s">
        <v>106</v>
      </c>
      <c r="L24" s="46" t="s">
        <v>107</v>
      </c>
      <c r="M24" s="46" t="s">
        <v>108</v>
      </c>
      <c r="N24" s="46" t="s">
        <v>109</v>
      </c>
      <c r="O24" s="46" t="s">
        <v>110</v>
      </c>
      <c r="P24" s="46" t="s">
        <v>111</v>
      </c>
      <c r="R24" s="46" t="s">
        <v>112</v>
      </c>
      <c r="S24" s="46" t="s">
        <v>113</v>
      </c>
      <c r="T24" s="46" t="s">
        <v>114</v>
      </c>
      <c r="U24" s="46" t="s">
        <v>224</v>
      </c>
      <c r="V24" s="46" t="s">
        <v>115</v>
      </c>
      <c r="W24" s="46" t="s">
        <v>116</v>
      </c>
      <c r="X24" s="46" t="s">
        <v>225</v>
      </c>
      <c r="Y24" s="46" t="s">
        <v>117</v>
      </c>
      <c r="Z24" s="46" t="s">
        <v>118</v>
      </c>
      <c r="AA24" s="46" t="s">
        <v>119</v>
      </c>
      <c r="AB24" s="46" t="s">
        <v>120</v>
      </c>
      <c r="AC24" s="46" t="s">
        <v>226</v>
      </c>
      <c r="AD24" s="46" t="s">
        <v>121</v>
      </c>
      <c r="AE24" s="46" t="s">
        <v>122</v>
      </c>
      <c r="AF24" s="46" t="s">
        <v>121</v>
      </c>
      <c r="AG24" s="46" t="s">
        <v>72</v>
      </c>
      <c r="AH24" s="46" t="s">
        <v>123</v>
      </c>
      <c r="AI24" s="46" t="s">
        <v>73</v>
      </c>
      <c r="AJ24" s="46" t="s">
        <v>74</v>
      </c>
      <c r="AK24" s="46" t="s">
        <v>124</v>
      </c>
      <c r="AL24" s="46" t="s">
        <v>125</v>
      </c>
      <c r="AM24" s="46" t="s">
        <v>126</v>
      </c>
      <c r="AN24" s="46" t="s">
        <v>127</v>
      </c>
      <c r="AO24" s="46" t="s">
        <v>128</v>
      </c>
      <c r="AP24" s="46" t="s">
        <v>129</v>
      </c>
    </row>
    <row r="25" spans="1:42">
      <c r="B25" s="46" t="s">
        <v>130</v>
      </c>
      <c r="C25" s="46" t="s">
        <v>44</v>
      </c>
      <c r="E25" s="46" t="s">
        <v>131</v>
      </c>
      <c r="K25" s="46" t="s">
        <v>132</v>
      </c>
      <c r="L25" s="46" t="s">
        <v>133</v>
      </c>
      <c r="M25" s="46" t="s">
        <v>134</v>
      </c>
      <c r="N25" s="46" t="s">
        <v>135</v>
      </c>
      <c r="O25" s="46" t="s">
        <v>136</v>
      </c>
      <c r="P25" s="46" t="s">
        <v>137</v>
      </c>
      <c r="Q25" s="46" t="s">
        <v>138</v>
      </c>
      <c r="S25" s="46" t="s">
        <v>137</v>
      </c>
      <c r="T25" s="46" t="s">
        <v>139</v>
      </c>
      <c r="V25" s="46" t="s">
        <v>140</v>
      </c>
      <c r="W25" s="46" t="s">
        <v>141</v>
      </c>
      <c r="X25" s="46" t="s">
        <v>142</v>
      </c>
      <c r="Y25" s="46" t="s">
        <v>143</v>
      </c>
      <c r="Z25" s="46" t="s">
        <v>144</v>
      </c>
      <c r="AA25" s="46" t="s">
        <v>145</v>
      </c>
      <c r="AB25" s="46" t="s">
        <v>227</v>
      </c>
      <c r="AC25" s="46" t="s">
        <v>146</v>
      </c>
    </row>
    <row r="26" spans="1:42">
      <c r="B26" s="46" t="s">
        <v>147</v>
      </c>
      <c r="C26" s="46" t="s">
        <v>45</v>
      </c>
      <c r="E26" s="46" t="s">
        <v>148</v>
      </c>
      <c r="K26" s="46" t="s">
        <v>149</v>
      </c>
      <c r="L26" s="46" t="s">
        <v>150</v>
      </c>
      <c r="M26" s="46" t="s">
        <v>151</v>
      </c>
      <c r="N26" s="46" t="s">
        <v>152</v>
      </c>
      <c r="O26" s="46" t="s">
        <v>153</v>
      </c>
      <c r="P26" s="46" t="s">
        <v>154</v>
      </c>
      <c r="Q26" s="46" t="s">
        <v>155</v>
      </c>
      <c r="S26" s="46" t="s">
        <v>154</v>
      </c>
      <c r="T26" s="46" t="s">
        <v>156</v>
      </c>
      <c r="V26" s="46" t="s">
        <v>157</v>
      </c>
      <c r="W26" s="46" t="s">
        <v>158</v>
      </c>
      <c r="X26" s="46" t="s">
        <v>159</v>
      </c>
      <c r="Y26" s="46" t="s">
        <v>160</v>
      </c>
      <c r="Z26" s="46" t="s">
        <v>161</v>
      </c>
      <c r="AA26" s="46" t="s">
        <v>162</v>
      </c>
      <c r="AB26" s="46" t="s">
        <v>228</v>
      </c>
      <c r="AC26" s="46" t="s">
        <v>163</v>
      </c>
    </row>
    <row r="28" spans="1:42">
      <c r="AB28" s="46" t="s">
        <v>164</v>
      </c>
      <c r="AC28" s="46" t="s">
        <v>229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2CB93-2164-433E-854C-129B21A97D81}">
  <dimension ref="A1:AP28"/>
  <sheetViews>
    <sheetView workbookViewId="0"/>
  </sheetViews>
  <sheetFormatPr defaultRowHeight="15"/>
  <sheetData>
    <row r="1" spans="1:35">
      <c r="A1" s="46" t="s">
        <v>165</v>
      </c>
      <c r="B1" s="46" t="s">
        <v>41</v>
      </c>
      <c r="C1" s="46" t="s">
        <v>7</v>
      </c>
      <c r="D1" s="46" t="s">
        <v>7</v>
      </c>
      <c r="E1" s="46" t="s">
        <v>7</v>
      </c>
      <c r="F1" s="46" t="s">
        <v>7</v>
      </c>
      <c r="G1" s="46" t="s">
        <v>7</v>
      </c>
      <c r="H1" s="46" t="s">
        <v>7</v>
      </c>
      <c r="I1" s="46" t="s">
        <v>7</v>
      </c>
      <c r="J1" s="46" t="s">
        <v>48</v>
      </c>
      <c r="K1" s="46" t="s">
        <v>17</v>
      </c>
      <c r="L1" s="46" t="s">
        <v>17</v>
      </c>
      <c r="M1" s="46" t="s">
        <v>17</v>
      </c>
      <c r="N1" s="46" t="s">
        <v>17</v>
      </c>
      <c r="O1" s="46" t="s">
        <v>17</v>
      </c>
      <c r="P1" s="46" t="s">
        <v>17</v>
      </c>
      <c r="Q1" s="46" t="s">
        <v>17</v>
      </c>
      <c r="R1" s="46" t="s">
        <v>17</v>
      </c>
      <c r="S1" s="46" t="s">
        <v>17</v>
      </c>
      <c r="T1" s="46" t="s">
        <v>17</v>
      </c>
      <c r="V1" s="46" t="s">
        <v>17</v>
      </c>
      <c r="W1" s="46" t="s">
        <v>17</v>
      </c>
      <c r="X1" s="46" t="s">
        <v>17</v>
      </c>
      <c r="Y1" s="46" t="s">
        <v>7</v>
      </c>
      <c r="Z1" s="46" t="s">
        <v>7</v>
      </c>
      <c r="AA1" s="46" t="s">
        <v>17</v>
      </c>
      <c r="AB1" s="46" t="s">
        <v>17</v>
      </c>
      <c r="AC1" s="46" t="s">
        <v>17</v>
      </c>
      <c r="AH1" s="46" t="s">
        <v>7</v>
      </c>
      <c r="AI1" s="46" t="s">
        <v>7</v>
      </c>
    </row>
    <row r="2" spans="1:35">
      <c r="A2" s="46" t="s">
        <v>7</v>
      </c>
      <c r="D2" s="46" t="s">
        <v>18</v>
      </c>
      <c r="E2" s="46" t="s">
        <v>88</v>
      </c>
    </row>
    <row r="3" spans="1:35">
      <c r="A3" s="46" t="s">
        <v>7</v>
      </c>
      <c r="D3" s="46" t="s">
        <v>21</v>
      </c>
      <c r="E3" s="46" t="s">
        <v>19</v>
      </c>
      <c r="F3" s="46" t="s">
        <v>20</v>
      </c>
      <c r="G3" s="46" t="s">
        <v>22</v>
      </c>
      <c r="H3" s="46" t="s">
        <v>42</v>
      </c>
      <c r="I3" s="46" t="s">
        <v>23</v>
      </c>
    </row>
    <row r="4" spans="1:35">
      <c r="A4" s="46" t="s">
        <v>7</v>
      </c>
      <c r="C4" s="46" t="s">
        <v>11</v>
      </c>
      <c r="D4" s="46" t="s">
        <v>89</v>
      </c>
      <c r="E4" s="46" t="s">
        <v>90</v>
      </c>
      <c r="F4" s="46" t="s">
        <v>46</v>
      </c>
      <c r="G4" s="46" t="s">
        <v>24</v>
      </c>
      <c r="H4" s="46" t="s">
        <v>91</v>
      </c>
    </row>
    <row r="5" spans="1:35">
      <c r="A5" s="46" t="s">
        <v>7</v>
      </c>
      <c r="C5" s="46" t="s">
        <v>10</v>
      </c>
      <c r="D5" s="46" t="s">
        <v>92</v>
      </c>
      <c r="E5" s="46" t="s">
        <v>93</v>
      </c>
      <c r="F5" s="46" t="s">
        <v>47</v>
      </c>
      <c r="G5" s="46" t="s">
        <v>24</v>
      </c>
      <c r="H5" s="46" t="s">
        <v>91</v>
      </c>
      <c r="I5" s="46" t="s">
        <v>94</v>
      </c>
    </row>
    <row r="6" spans="1:35">
      <c r="A6" s="46" t="s">
        <v>7</v>
      </c>
      <c r="C6" s="46" t="s">
        <v>36</v>
      </c>
      <c r="D6" s="46" t="s">
        <v>95</v>
      </c>
      <c r="E6" s="46" t="s">
        <v>96</v>
      </c>
      <c r="F6" s="46" t="s">
        <v>47</v>
      </c>
      <c r="G6" s="46" t="s">
        <v>24</v>
      </c>
      <c r="H6" s="46" t="s">
        <v>91</v>
      </c>
      <c r="I6" s="46" t="s">
        <v>97</v>
      </c>
    </row>
    <row r="7" spans="1:35">
      <c r="A7" s="46" t="s">
        <v>7</v>
      </c>
    </row>
    <row r="8" spans="1:35">
      <c r="A8" s="46" t="s">
        <v>7</v>
      </c>
    </row>
    <row r="9" spans="1:35">
      <c r="A9" s="46" t="s">
        <v>7</v>
      </c>
    </row>
    <row r="10" spans="1:35">
      <c r="A10" s="46" t="s">
        <v>7</v>
      </c>
    </row>
    <row r="11" spans="1:35">
      <c r="A11" s="46" t="s">
        <v>7</v>
      </c>
      <c r="C11" s="46" t="s">
        <v>26</v>
      </c>
      <c r="E11" s="46" t="s">
        <v>98</v>
      </c>
    </row>
    <row r="12" spans="1:35">
      <c r="A12" s="46" t="s">
        <v>7</v>
      </c>
      <c r="C12" s="46" t="s">
        <v>27</v>
      </c>
      <c r="E12" s="46" t="s">
        <v>99</v>
      </c>
    </row>
    <row r="13" spans="1:35">
      <c r="A13" s="46" t="s">
        <v>7</v>
      </c>
      <c r="C13" s="46" t="s">
        <v>37</v>
      </c>
      <c r="E13" s="46" t="s">
        <v>100</v>
      </c>
    </row>
    <row r="14" spans="1:35">
      <c r="A14" s="46" t="s">
        <v>7</v>
      </c>
      <c r="C14" s="46" t="s">
        <v>35</v>
      </c>
      <c r="E14" s="46" t="s">
        <v>101</v>
      </c>
    </row>
    <row r="15" spans="1:35">
      <c r="A15" s="46" t="s">
        <v>7</v>
      </c>
      <c r="C15" s="46" t="s">
        <v>38</v>
      </c>
      <c r="E15" s="46" t="s">
        <v>102</v>
      </c>
    </row>
    <row r="16" spans="1:35">
      <c r="A16" s="46" t="s">
        <v>7</v>
      </c>
      <c r="C16" s="46" t="s">
        <v>39</v>
      </c>
      <c r="E16" s="46" t="s">
        <v>103</v>
      </c>
    </row>
    <row r="17" spans="1:42">
      <c r="A17" s="46" t="s">
        <v>7</v>
      </c>
    </row>
    <row r="18" spans="1:42">
      <c r="A18" s="46" t="s">
        <v>7</v>
      </c>
    </row>
    <row r="21" spans="1:42">
      <c r="K21" s="46" t="s">
        <v>40</v>
      </c>
    </row>
    <row r="23" spans="1:42">
      <c r="E23" s="46" t="s">
        <v>28</v>
      </c>
      <c r="K23" s="46" t="s">
        <v>54</v>
      </c>
      <c r="L23" s="46" t="s">
        <v>55</v>
      </c>
      <c r="M23" s="46" t="s">
        <v>14</v>
      </c>
      <c r="N23" s="46" t="s">
        <v>15</v>
      </c>
      <c r="O23" s="46" t="s">
        <v>29</v>
      </c>
      <c r="P23" s="46" t="s">
        <v>56</v>
      </c>
      <c r="Q23" s="46" t="s">
        <v>57</v>
      </c>
      <c r="R23" s="46" t="s">
        <v>30</v>
      </c>
      <c r="S23" s="46" t="s">
        <v>34</v>
      </c>
      <c r="T23" s="46" t="s">
        <v>32</v>
      </c>
      <c r="U23" s="46" t="s">
        <v>223</v>
      </c>
      <c r="V23" s="46" t="s">
        <v>16</v>
      </c>
      <c r="W23" s="46" t="s">
        <v>58</v>
      </c>
      <c r="X23" s="46" t="s">
        <v>59</v>
      </c>
      <c r="Y23" s="46" t="s">
        <v>33</v>
      </c>
      <c r="Z23" s="46" t="s">
        <v>12</v>
      </c>
      <c r="AA23" s="46" t="s">
        <v>31</v>
      </c>
      <c r="AB23" s="46" t="s">
        <v>13</v>
      </c>
      <c r="AC23" s="46" t="s">
        <v>49</v>
      </c>
      <c r="AD23" s="46" t="s">
        <v>50</v>
      </c>
      <c r="AE23" s="46" t="s">
        <v>60</v>
      </c>
      <c r="AF23" s="46" t="s">
        <v>61</v>
      </c>
      <c r="AG23" s="46" t="s">
        <v>62</v>
      </c>
      <c r="AH23" s="46" t="s">
        <v>63</v>
      </c>
      <c r="AI23" s="46" t="s">
        <v>64</v>
      </c>
      <c r="AJ23" s="46" t="s">
        <v>65</v>
      </c>
      <c r="AK23" s="46" t="s">
        <v>66</v>
      </c>
      <c r="AL23" s="46" t="s">
        <v>67</v>
      </c>
      <c r="AM23" s="46" t="s">
        <v>68</v>
      </c>
      <c r="AN23" s="46" t="s">
        <v>69</v>
      </c>
      <c r="AO23" s="46" t="s">
        <v>70</v>
      </c>
      <c r="AP23" s="46" t="s">
        <v>71</v>
      </c>
    </row>
    <row r="24" spans="1:42">
      <c r="B24" s="46" t="s">
        <v>104</v>
      </c>
      <c r="C24" s="46" t="s">
        <v>43</v>
      </c>
      <c r="E24" s="46" t="s">
        <v>105</v>
      </c>
      <c r="K24" s="46" t="s">
        <v>106</v>
      </c>
      <c r="L24" s="46" t="s">
        <v>107</v>
      </c>
      <c r="M24" s="46" t="s">
        <v>108</v>
      </c>
      <c r="N24" s="46" t="s">
        <v>109</v>
      </c>
      <c r="O24" s="46" t="s">
        <v>110</v>
      </c>
      <c r="P24" s="46" t="s">
        <v>111</v>
      </c>
      <c r="R24" s="46" t="s">
        <v>112</v>
      </c>
      <c r="S24" s="46" t="s">
        <v>113</v>
      </c>
      <c r="T24" s="46" t="s">
        <v>114</v>
      </c>
      <c r="U24" s="46" t="s">
        <v>224</v>
      </c>
      <c r="V24" s="46" t="s">
        <v>115</v>
      </c>
      <c r="W24" s="46" t="s">
        <v>116</v>
      </c>
      <c r="X24" s="46" t="s">
        <v>225</v>
      </c>
      <c r="Y24" s="46" t="s">
        <v>117</v>
      </c>
      <c r="Z24" s="46" t="s">
        <v>118</v>
      </c>
      <c r="AA24" s="46" t="s">
        <v>119</v>
      </c>
      <c r="AB24" s="46" t="s">
        <v>120</v>
      </c>
      <c r="AC24" s="46" t="s">
        <v>226</v>
      </c>
      <c r="AD24" s="46" t="s">
        <v>121</v>
      </c>
      <c r="AE24" s="46" t="s">
        <v>122</v>
      </c>
      <c r="AF24" s="46" t="s">
        <v>121</v>
      </c>
      <c r="AG24" s="46" t="s">
        <v>72</v>
      </c>
      <c r="AH24" s="46" t="s">
        <v>123</v>
      </c>
      <c r="AI24" s="46" t="s">
        <v>73</v>
      </c>
      <c r="AJ24" s="46" t="s">
        <v>74</v>
      </c>
      <c r="AK24" s="46" t="s">
        <v>124</v>
      </c>
      <c r="AL24" s="46" t="s">
        <v>125</v>
      </c>
      <c r="AM24" s="46" t="s">
        <v>126</v>
      </c>
      <c r="AN24" s="46" t="s">
        <v>127</v>
      </c>
      <c r="AO24" s="46" t="s">
        <v>128</v>
      </c>
      <c r="AP24" s="46" t="s">
        <v>129</v>
      </c>
    </row>
    <row r="25" spans="1:42">
      <c r="B25" s="46" t="s">
        <v>130</v>
      </c>
      <c r="C25" s="46" t="s">
        <v>44</v>
      </c>
      <c r="E25" s="46" t="s">
        <v>131</v>
      </c>
      <c r="K25" s="46" t="s">
        <v>132</v>
      </c>
      <c r="L25" s="46" t="s">
        <v>133</v>
      </c>
      <c r="M25" s="46" t="s">
        <v>134</v>
      </c>
      <c r="N25" s="46" t="s">
        <v>135</v>
      </c>
      <c r="O25" s="46" t="s">
        <v>136</v>
      </c>
      <c r="P25" s="46" t="s">
        <v>137</v>
      </c>
      <c r="Q25" s="46" t="s">
        <v>138</v>
      </c>
      <c r="S25" s="46" t="s">
        <v>137</v>
      </c>
      <c r="T25" s="46" t="s">
        <v>139</v>
      </c>
      <c r="V25" s="46" t="s">
        <v>140</v>
      </c>
      <c r="W25" s="46" t="s">
        <v>141</v>
      </c>
      <c r="X25" s="46" t="s">
        <v>142</v>
      </c>
      <c r="Y25" s="46" t="s">
        <v>143</v>
      </c>
      <c r="Z25" s="46" t="s">
        <v>144</v>
      </c>
      <c r="AA25" s="46" t="s">
        <v>145</v>
      </c>
      <c r="AB25" s="46" t="s">
        <v>227</v>
      </c>
      <c r="AC25" s="46" t="s">
        <v>146</v>
      </c>
    </row>
    <row r="26" spans="1:42">
      <c r="B26" s="46" t="s">
        <v>147</v>
      </c>
      <c r="C26" s="46" t="s">
        <v>45</v>
      </c>
      <c r="E26" s="46" t="s">
        <v>148</v>
      </c>
      <c r="K26" s="46" t="s">
        <v>149</v>
      </c>
      <c r="L26" s="46" t="s">
        <v>150</v>
      </c>
      <c r="M26" s="46" t="s">
        <v>151</v>
      </c>
      <c r="N26" s="46" t="s">
        <v>152</v>
      </c>
      <c r="O26" s="46" t="s">
        <v>153</v>
      </c>
      <c r="P26" s="46" t="s">
        <v>154</v>
      </c>
      <c r="Q26" s="46" t="s">
        <v>155</v>
      </c>
      <c r="S26" s="46" t="s">
        <v>154</v>
      </c>
      <c r="T26" s="46" t="s">
        <v>156</v>
      </c>
      <c r="V26" s="46" t="s">
        <v>157</v>
      </c>
      <c r="W26" s="46" t="s">
        <v>158</v>
      </c>
      <c r="X26" s="46" t="s">
        <v>159</v>
      </c>
      <c r="Y26" s="46" t="s">
        <v>160</v>
      </c>
      <c r="Z26" s="46" t="s">
        <v>161</v>
      </c>
      <c r="AA26" s="46" t="s">
        <v>162</v>
      </c>
      <c r="AB26" s="46" t="s">
        <v>228</v>
      </c>
      <c r="AC26" s="46" t="s">
        <v>163</v>
      </c>
    </row>
    <row r="28" spans="1:42">
      <c r="AB28" s="46" t="s">
        <v>164</v>
      </c>
      <c r="AC28" s="46" t="s">
        <v>229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5DFDA-3B04-4514-BD07-502FEA2E18D8}">
  <dimension ref="A1:E30"/>
  <sheetViews>
    <sheetView workbookViewId="0"/>
  </sheetViews>
  <sheetFormatPr defaultRowHeight="15"/>
  <sheetData>
    <row r="1" spans="1:5">
      <c r="A1" s="46" t="s">
        <v>168</v>
      </c>
      <c r="B1" s="46" t="s">
        <v>1</v>
      </c>
      <c r="C1" s="46" t="s">
        <v>2</v>
      </c>
      <c r="D1" s="46" t="s">
        <v>3</v>
      </c>
    </row>
    <row r="2" spans="1:5">
      <c r="B2" s="46" t="s">
        <v>18</v>
      </c>
      <c r="C2" s="46" t="s">
        <v>4</v>
      </c>
    </row>
    <row r="3" spans="1:5">
      <c r="A3" s="46" t="s">
        <v>0</v>
      </c>
      <c r="B3" s="46" t="s">
        <v>5</v>
      </c>
      <c r="C3" s="46" t="s">
        <v>402</v>
      </c>
    </row>
    <row r="4" spans="1:5">
      <c r="A4" s="46" t="s">
        <v>0</v>
      </c>
      <c r="B4" s="46" t="s">
        <v>6</v>
      </c>
      <c r="C4" s="46" t="s">
        <v>403</v>
      </c>
    </row>
    <row r="5" spans="1:5">
      <c r="A5" s="46" t="s">
        <v>0</v>
      </c>
      <c r="B5" s="46" t="s">
        <v>25</v>
      </c>
      <c r="C5" s="46" t="s">
        <v>77</v>
      </c>
      <c r="D5" s="46" t="s">
        <v>78</v>
      </c>
      <c r="E5" s="46" t="s">
        <v>51</v>
      </c>
    </row>
    <row r="8" spans="1:5">
      <c r="A8" s="46" t="s">
        <v>8</v>
      </c>
      <c r="C8" s="46" t="s">
        <v>79</v>
      </c>
    </row>
    <row r="9" spans="1:5">
      <c r="A9" s="46" t="s">
        <v>9</v>
      </c>
      <c r="C9" s="46" t="s">
        <v>80</v>
      </c>
    </row>
    <row r="10" spans="1:5">
      <c r="B10" s="46" t="s">
        <v>37</v>
      </c>
      <c r="C10" s="46" t="s">
        <v>81</v>
      </c>
    </row>
    <row r="11" spans="1:5">
      <c r="B11" s="46" t="s">
        <v>35</v>
      </c>
      <c r="C11" s="46" t="s">
        <v>81</v>
      </c>
    </row>
    <row r="12" spans="1:5">
      <c r="B12" s="46" t="s">
        <v>38</v>
      </c>
      <c r="C12" s="46" t="s">
        <v>82</v>
      </c>
    </row>
    <row r="13" spans="1:5">
      <c r="B13" s="46" t="s">
        <v>39</v>
      </c>
      <c r="C13" s="46" t="s">
        <v>83</v>
      </c>
      <c r="D13" s="46" t="s">
        <v>84</v>
      </c>
    </row>
    <row r="14" spans="1:5">
      <c r="D14" s="46" t="s">
        <v>85</v>
      </c>
    </row>
    <row r="15" spans="1:5">
      <c r="D15" s="46" t="s">
        <v>52</v>
      </c>
    </row>
    <row r="28" spans="3:4">
      <c r="C28" s="46" t="s">
        <v>53</v>
      </c>
      <c r="D28" s="46" t="s">
        <v>52</v>
      </c>
    </row>
    <row r="29" spans="3:4">
      <c r="D29" s="46" t="s">
        <v>84</v>
      </c>
    </row>
    <row r="30" spans="3:4">
      <c r="D30" s="46" t="s">
        <v>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02318-2845-44F7-9D67-040C9B2366C7}">
  <dimension ref="A1:AP36"/>
  <sheetViews>
    <sheetView workbookViewId="0"/>
  </sheetViews>
  <sheetFormatPr defaultRowHeight="15"/>
  <sheetData>
    <row r="1" spans="1:35">
      <c r="A1" s="46" t="s">
        <v>222</v>
      </c>
      <c r="B1" s="46" t="s">
        <v>41</v>
      </c>
      <c r="C1" s="46" t="s">
        <v>7</v>
      </c>
      <c r="D1" s="46" t="s">
        <v>7</v>
      </c>
      <c r="E1" s="46" t="s">
        <v>7</v>
      </c>
      <c r="F1" s="46" t="s">
        <v>7</v>
      </c>
      <c r="G1" s="46" t="s">
        <v>7</v>
      </c>
      <c r="H1" s="46" t="s">
        <v>7</v>
      </c>
      <c r="I1" s="46" t="s">
        <v>7</v>
      </c>
      <c r="J1" s="46" t="s">
        <v>48</v>
      </c>
      <c r="K1" s="46" t="s">
        <v>17</v>
      </c>
      <c r="L1" s="46" t="s">
        <v>17</v>
      </c>
      <c r="M1" s="46" t="s">
        <v>17</v>
      </c>
      <c r="N1" s="46" t="s">
        <v>17</v>
      </c>
      <c r="O1" s="46" t="s">
        <v>17</v>
      </c>
      <c r="P1" s="46" t="s">
        <v>17</v>
      </c>
      <c r="Q1" s="46" t="s">
        <v>17</v>
      </c>
      <c r="R1" s="46" t="s">
        <v>17</v>
      </c>
      <c r="S1" s="46" t="s">
        <v>17</v>
      </c>
      <c r="T1" s="46" t="s">
        <v>17</v>
      </c>
      <c r="V1" s="46" t="s">
        <v>17</v>
      </c>
      <c r="W1" s="46" t="s">
        <v>17</v>
      </c>
      <c r="X1" s="46" t="s">
        <v>17</v>
      </c>
      <c r="Y1" s="46" t="s">
        <v>7</v>
      </c>
      <c r="Z1" s="46" t="s">
        <v>7</v>
      </c>
      <c r="AA1" s="46" t="s">
        <v>17</v>
      </c>
      <c r="AB1" s="46" t="s">
        <v>17</v>
      </c>
      <c r="AC1" s="46" t="s">
        <v>17</v>
      </c>
      <c r="AH1" s="46" t="s">
        <v>7</v>
      </c>
      <c r="AI1" s="46" t="s">
        <v>7</v>
      </c>
    </row>
    <row r="2" spans="1:35">
      <c r="A2" s="46" t="s">
        <v>7</v>
      </c>
      <c r="D2" s="46" t="s">
        <v>18</v>
      </c>
      <c r="E2" s="46" t="s">
        <v>88</v>
      </c>
    </row>
    <row r="3" spans="1:35">
      <c r="A3" s="46" t="s">
        <v>7</v>
      </c>
      <c r="D3" s="46" t="s">
        <v>21</v>
      </c>
      <c r="E3" s="46" t="s">
        <v>19</v>
      </c>
      <c r="F3" s="46" t="s">
        <v>20</v>
      </c>
      <c r="G3" s="46" t="s">
        <v>22</v>
      </c>
      <c r="H3" s="46" t="s">
        <v>42</v>
      </c>
      <c r="I3" s="46" t="s">
        <v>23</v>
      </c>
    </row>
    <row r="4" spans="1:35">
      <c r="A4" s="46" t="s">
        <v>7</v>
      </c>
      <c r="C4" s="46" t="s">
        <v>11</v>
      </c>
      <c r="D4" s="46" t="s">
        <v>89</v>
      </c>
      <c r="E4" s="46" t="s">
        <v>90</v>
      </c>
      <c r="F4" s="46" t="s">
        <v>46</v>
      </c>
      <c r="G4" s="46" t="s">
        <v>24</v>
      </c>
      <c r="H4" s="46" t="s">
        <v>91</v>
      </c>
    </row>
    <row r="5" spans="1:35">
      <c r="A5" s="46" t="s">
        <v>7</v>
      </c>
      <c r="C5" s="46" t="s">
        <v>10</v>
      </c>
      <c r="D5" s="46" t="s">
        <v>92</v>
      </c>
      <c r="E5" s="46" t="s">
        <v>93</v>
      </c>
      <c r="F5" s="46" t="s">
        <v>47</v>
      </c>
      <c r="G5" s="46" t="s">
        <v>24</v>
      </c>
      <c r="H5" s="46" t="s">
        <v>91</v>
      </c>
      <c r="I5" s="46" t="s">
        <v>94</v>
      </c>
    </row>
    <row r="6" spans="1:35">
      <c r="A6" s="46" t="s">
        <v>7</v>
      </c>
      <c r="C6" s="46" t="s">
        <v>36</v>
      </c>
      <c r="D6" s="46" t="s">
        <v>95</v>
      </c>
      <c r="E6" s="46" t="s">
        <v>96</v>
      </c>
      <c r="F6" s="46" t="s">
        <v>47</v>
      </c>
      <c r="G6" s="46" t="s">
        <v>24</v>
      </c>
      <c r="H6" s="46" t="s">
        <v>91</v>
      </c>
      <c r="I6" s="46" t="s">
        <v>97</v>
      </c>
    </row>
    <row r="7" spans="1:35">
      <c r="A7" s="46" t="s">
        <v>7</v>
      </c>
    </row>
    <row r="8" spans="1:35">
      <c r="A8" s="46" t="s">
        <v>7</v>
      </c>
    </row>
    <row r="9" spans="1:35">
      <c r="A9" s="46" t="s">
        <v>7</v>
      </c>
    </row>
    <row r="10" spans="1:35">
      <c r="A10" s="46" t="s">
        <v>7</v>
      </c>
    </row>
    <row r="11" spans="1:35">
      <c r="A11" s="46" t="s">
        <v>7</v>
      </c>
      <c r="C11" s="46" t="s">
        <v>26</v>
      </c>
      <c r="E11" s="46" t="s">
        <v>98</v>
      </c>
    </row>
    <row r="12" spans="1:35">
      <c r="A12" s="46" t="s">
        <v>7</v>
      </c>
      <c r="C12" s="46" t="s">
        <v>27</v>
      </c>
      <c r="E12" s="46" t="s">
        <v>99</v>
      </c>
    </row>
    <row r="13" spans="1:35">
      <c r="A13" s="46" t="s">
        <v>7</v>
      </c>
      <c r="C13" s="46" t="s">
        <v>37</v>
      </c>
      <c r="E13" s="46" t="s">
        <v>100</v>
      </c>
    </row>
    <row r="14" spans="1:35">
      <c r="A14" s="46" t="s">
        <v>7</v>
      </c>
      <c r="C14" s="46" t="s">
        <v>35</v>
      </c>
      <c r="E14" s="46" t="s">
        <v>101</v>
      </c>
    </row>
    <row r="15" spans="1:35">
      <c r="A15" s="46" t="s">
        <v>7</v>
      </c>
      <c r="C15" s="46" t="s">
        <v>38</v>
      </c>
      <c r="E15" s="46" t="s">
        <v>102</v>
      </c>
    </row>
    <row r="16" spans="1:35">
      <c r="A16" s="46" t="s">
        <v>7</v>
      </c>
      <c r="C16" s="46" t="s">
        <v>39</v>
      </c>
      <c r="E16" s="46" t="s">
        <v>103</v>
      </c>
    </row>
    <row r="17" spans="1:42">
      <c r="A17" s="46" t="s">
        <v>7</v>
      </c>
    </row>
    <row r="18" spans="1:42">
      <c r="A18" s="46" t="s">
        <v>7</v>
      </c>
    </row>
    <row r="21" spans="1:42">
      <c r="K21" s="46" t="s">
        <v>40</v>
      </c>
    </row>
    <row r="23" spans="1:42">
      <c r="E23" s="46" t="s">
        <v>28</v>
      </c>
      <c r="K23" s="46" t="s">
        <v>54</v>
      </c>
      <c r="L23" s="46" t="s">
        <v>55</v>
      </c>
      <c r="M23" s="46" t="s">
        <v>14</v>
      </c>
      <c r="N23" s="46" t="s">
        <v>15</v>
      </c>
      <c r="O23" s="46" t="s">
        <v>29</v>
      </c>
      <c r="P23" s="46" t="s">
        <v>56</v>
      </c>
      <c r="Q23" s="46" t="s">
        <v>57</v>
      </c>
      <c r="R23" s="46" t="s">
        <v>30</v>
      </c>
      <c r="S23" s="46" t="s">
        <v>34</v>
      </c>
      <c r="T23" s="46" t="s">
        <v>32</v>
      </c>
      <c r="U23" s="46" t="s">
        <v>223</v>
      </c>
      <c r="V23" s="46" t="s">
        <v>16</v>
      </c>
      <c r="W23" s="46" t="s">
        <v>58</v>
      </c>
      <c r="X23" s="46" t="s">
        <v>59</v>
      </c>
      <c r="Y23" s="46" t="s">
        <v>33</v>
      </c>
      <c r="Z23" s="46" t="s">
        <v>12</v>
      </c>
      <c r="AA23" s="46" t="s">
        <v>31</v>
      </c>
      <c r="AB23" s="46" t="s">
        <v>13</v>
      </c>
      <c r="AC23" s="46" t="s">
        <v>49</v>
      </c>
      <c r="AD23" s="46" t="s">
        <v>50</v>
      </c>
      <c r="AE23" s="46" t="s">
        <v>60</v>
      </c>
      <c r="AF23" s="46" t="s">
        <v>61</v>
      </c>
      <c r="AG23" s="46" t="s">
        <v>62</v>
      </c>
      <c r="AH23" s="46" t="s">
        <v>63</v>
      </c>
      <c r="AI23" s="46" t="s">
        <v>64</v>
      </c>
      <c r="AJ23" s="46" t="s">
        <v>65</v>
      </c>
      <c r="AK23" s="46" t="s">
        <v>66</v>
      </c>
      <c r="AL23" s="46" t="s">
        <v>67</v>
      </c>
      <c r="AM23" s="46" t="s">
        <v>68</v>
      </c>
      <c r="AN23" s="46" t="s">
        <v>69</v>
      </c>
      <c r="AO23" s="46" t="s">
        <v>70</v>
      </c>
      <c r="AP23" s="46" t="s">
        <v>71</v>
      </c>
    </row>
    <row r="24" spans="1:42">
      <c r="B24" s="46" t="s">
        <v>104</v>
      </c>
      <c r="C24" s="46" t="s">
        <v>43</v>
      </c>
      <c r="E24" s="46" t="s">
        <v>105</v>
      </c>
      <c r="K24" s="46" t="s">
        <v>106</v>
      </c>
      <c r="L24" s="46" t="s">
        <v>107</v>
      </c>
      <c r="M24" s="46" t="s">
        <v>108</v>
      </c>
      <c r="N24" s="46" t="s">
        <v>109</v>
      </c>
      <c r="O24" s="46" t="s">
        <v>110</v>
      </c>
      <c r="P24" s="46" t="s">
        <v>111</v>
      </c>
      <c r="R24" s="46" t="s">
        <v>112</v>
      </c>
      <c r="S24" s="46" t="s">
        <v>113</v>
      </c>
      <c r="T24" s="46" t="s">
        <v>114</v>
      </c>
      <c r="U24" s="46" t="s">
        <v>224</v>
      </c>
      <c r="V24" s="46" t="s">
        <v>115</v>
      </c>
      <c r="W24" s="46" t="s">
        <v>116</v>
      </c>
      <c r="X24" s="46" t="s">
        <v>225</v>
      </c>
      <c r="Y24" s="46" t="s">
        <v>117</v>
      </c>
      <c r="Z24" s="46" t="s">
        <v>118</v>
      </c>
      <c r="AA24" s="46" t="s">
        <v>119</v>
      </c>
      <c r="AB24" s="46" t="s">
        <v>120</v>
      </c>
      <c r="AC24" s="46" t="s">
        <v>226</v>
      </c>
      <c r="AD24" s="46" t="s">
        <v>121</v>
      </c>
      <c r="AE24" s="46" t="s">
        <v>122</v>
      </c>
      <c r="AF24" s="46" t="s">
        <v>121</v>
      </c>
      <c r="AG24" s="46" t="s">
        <v>72</v>
      </c>
      <c r="AH24" s="46" t="s">
        <v>123</v>
      </c>
      <c r="AI24" s="46" t="s">
        <v>73</v>
      </c>
      <c r="AJ24" s="46" t="s">
        <v>74</v>
      </c>
      <c r="AK24" s="46" t="s">
        <v>124</v>
      </c>
      <c r="AL24" s="46" t="s">
        <v>125</v>
      </c>
      <c r="AM24" s="46" t="s">
        <v>126</v>
      </c>
      <c r="AN24" s="46" t="s">
        <v>127</v>
      </c>
      <c r="AO24" s="46" t="s">
        <v>128</v>
      </c>
      <c r="AP24" s="46" t="s">
        <v>129</v>
      </c>
    </row>
    <row r="25" spans="1:42">
      <c r="A25" s="46" t="s">
        <v>166</v>
      </c>
      <c r="B25" s="46" t="s">
        <v>130</v>
      </c>
      <c r="C25" s="46" t="s">
        <v>43</v>
      </c>
      <c r="E25" s="46" t="s">
        <v>404</v>
      </c>
      <c r="K25" s="46" t="s">
        <v>170</v>
      </c>
      <c r="L25" s="46" t="s">
        <v>171</v>
      </c>
      <c r="M25" s="46" t="s">
        <v>132</v>
      </c>
      <c r="N25" s="46" t="s">
        <v>133</v>
      </c>
      <c r="O25" s="46" t="s">
        <v>134</v>
      </c>
      <c r="P25" s="46" t="s">
        <v>172</v>
      </c>
      <c r="R25" s="46" t="s">
        <v>135</v>
      </c>
      <c r="S25" s="46" t="s">
        <v>136</v>
      </c>
      <c r="T25" s="46" t="s">
        <v>138</v>
      </c>
      <c r="U25" s="46" t="s">
        <v>145</v>
      </c>
      <c r="V25" s="46" t="s">
        <v>173</v>
      </c>
      <c r="W25" s="46" t="s">
        <v>174</v>
      </c>
      <c r="X25" s="46" t="s">
        <v>230</v>
      </c>
      <c r="Y25" s="46" t="s">
        <v>137</v>
      </c>
      <c r="Z25" s="46" t="s">
        <v>139</v>
      </c>
      <c r="AA25" s="46" t="s">
        <v>140</v>
      </c>
      <c r="AB25" s="46" t="s">
        <v>141</v>
      </c>
      <c r="AC25" s="46" t="s">
        <v>231</v>
      </c>
      <c r="AD25" s="46" t="s">
        <v>146</v>
      </c>
      <c r="AE25" s="46" t="s">
        <v>175</v>
      </c>
      <c r="AF25" s="46" t="s">
        <v>146</v>
      </c>
      <c r="AG25" s="46" t="s">
        <v>72</v>
      </c>
      <c r="AH25" s="46" t="s">
        <v>143</v>
      </c>
      <c r="AI25" s="46" t="s">
        <v>73</v>
      </c>
      <c r="AJ25" s="46" t="s">
        <v>74</v>
      </c>
      <c r="AK25" s="46" t="s">
        <v>176</v>
      </c>
      <c r="AL25" s="46" t="s">
        <v>177</v>
      </c>
      <c r="AM25" s="46" t="s">
        <v>178</v>
      </c>
      <c r="AN25" s="46" t="s">
        <v>179</v>
      </c>
      <c r="AO25" s="46" t="s">
        <v>180</v>
      </c>
      <c r="AP25" s="46" t="s">
        <v>181</v>
      </c>
    </row>
    <row r="26" spans="1:42">
      <c r="A26" s="46" t="s">
        <v>166</v>
      </c>
      <c r="B26" s="46" t="s">
        <v>147</v>
      </c>
      <c r="C26" s="46" t="s">
        <v>43</v>
      </c>
      <c r="E26" s="46" t="s">
        <v>405</v>
      </c>
      <c r="K26" s="46" t="s">
        <v>182</v>
      </c>
      <c r="L26" s="46" t="s">
        <v>183</v>
      </c>
      <c r="M26" s="46" t="s">
        <v>149</v>
      </c>
      <c r="N26" s="46" t="s">
        <v>150</v>
      </c>
      <c r="O26" s="46" t="s">
        <v>151</v>
      </c>
      <c r="P26" s="46" t="s">
        <v>184</v>
      </c>
      <c r="R26" s="46" t="s">
        <v>152</v>
      </c>
      <c r="S26" s="46" t="s">
        <v>153</v>
      </c>
      <c r="T26" s="46" t="s">
        <v>155</v>
      </c>
      <c r="U26" s="46" t="s">
        <v>162</v>
      </c>
      <c r="V26" s="46" t="s">
        <v>185</v>
      </c>
      <c r="W26" s="46" t="s">
        <v>186</v>
      </c>
      <c r="X26" s="46" t="s">
        <v>232</v>
      </c>
      <c r="Y26" s="46" t="s">
        <v>154</v>
      </c>
      <c r="Z26" s="46" t="s">
        <v>156</v>
      </c>
      <c r="AA26" s="46" t="s">
        <v>157</v>
      </c>
      <c r="AB26" s="46" t="s">
        <v>158</v>
      </c>
      <c r="AC26" s="46" t="s">
        <v>233</v>
      </c>
      <c r="AD26" s="46" t="s">
        <v>163</v>
      </c>
      <c r="AE26" s="46" t="s">
        <v>187</v>
      </c>
      <c r="AF26" s="46" t="s">
        <v>163</v>
      </c>
      <c r="AG26" s="46" t="s">
        <v>72</v>
      </c>
      <c r="AH26" s="46" t="s">
        <v>160</v>
      </c>
      <c r="AI26" s="46" t="s">
        <v>73</v>
      </c>
      <c r="AJ26" s="46" t="s">
        <v>74</v>
      </c>
      <c r="AK26" s="46" t="s">
        <v>188</v>
      </c>
      <c r="AL26" s="46" t="s">
        <v>189</v>
      </c>
      <c r="AM26" s="46" t="s">
        <v>190</v>
      </c>
      <c r="AN26" s="46" t="s">
        <v>191</v>
      </c>
      <c r="AO26" s="46" t="s">
        <v>192</v>
      </c>
      <c r="AP26" s="46" t="s">
        <v>193</v>
      </c>
    </row>
    <row r="27" spans="1:42">
      <c r="A27" s="46" t="s">
        <v>166</v>
      </c>
      <c r="B27" s="46" t="s">
        <v>194</v>
      </c>
      <c r="C27" s="46" t="s">
        <v>43</v>
      </c>
      <c r="E27" s="46" t="s">
        <v>406</v>
      </c>
      <c r="K27" s="46" t="s">
        <v>234</v>
      </c>
      <c r="L27" s="46" t="s">
        <v>235</v>
      </c>
      <c r="M27" s="46" t="s">
        <v>195</v>
      </c>
      <c r="N27" s="46" t="s">
        <v>196</v>
      </c>
      <c r="O27" s="46" t="s">
        <v>197</v>
      </c>
      <c r="P27" s="46" t="s">
        <v>236</v>
      </c>
      <c r="R27" s="46" t="s">
        <v>198</v>
      </c>
      <c r="S27" s="46" t="s">
        <v>199</v>
      </c>
      <c r="T27" s="46" t="s">
        <v>201</v>
      </c>
      <c r="U27" s="46" t="s">
        <v>206</v>
      </c>
      <c r="V27" s="46" t="s">
        <v>237</v>
      </c>
      <c r="W27" s="46" t="s">
        <v>238</v>
      </c>
      <c r="X27" s="46" t="s">
        <v>239</v>
      </c>
      <c r="Y27" s="46" t="s">
        <v>200</v>
      </c>
      <c r="Z27" s="46" t="s">
        <v>202</v>
      </c>
      <c r="AA27" s="46" t="s">
        <v>203</v>
      </c>
      <c r="AB27" s="46" t="s">
        <v>204</v>
      </c>
      <c r="AC27" s="46" t="s">
        <v>240</v>
      </c>
      <c r="AD27" s="46" t="s">
        <v>207</v>
      </c>
      <c r="AE27" s="46" t="s">
        <v>241</v>
      </c>
      <c r="AF27" s="46" t="s">
        <v>207</v>
      </c>
      <c r="AG27" s="46" t="s">
        <v>72</v>
      </c>
      <c r="AH27" s="46" t="s">
        <v>205</v>
      </c>
      <c r="AI27" s="46" t="s">
        <v>73</v>
      </c>
      <c r="AJ27" s="46" t="s">
        <v>74</v>
      </c>
      <c r="AK27" s="46" t="s">
        <v>242</v>
      </c>
      <c r="AL27" s="46" t="s">
        <v>243</v>
      </c>
      <c r="AM27" s="46" t="s">
        <v>244</v>
      </c>
      <c r="AN27" s="46" t="s">
        <v>245</v>
      </c>
      <c r="AO27" s="46" t="s">
        <v>246</v>
      </c>
      <c r="AP27" s="46" t="s">
        <v>247</v>
      </c>
    </row>
    <row r="28" spans="1:42">
      <c r="A28" s="46" t="s">
        <v>166</v>
      </c>
      <c r="B28" s="46" t="s">
        <v>208</v>
      </c>
      <c r="C28" s="46" t="s">
        <v>43</v>
      </c>
      <c r="E28" s="46" t="s">
        <v>407</v>
      </c>
      <c r="K28" s="46" t="s">
        <v>248</v>
      </c>
      <c r="L28" s="46" t="s">
        <v>249</v>
      </c>
      <c r="M28" s="46" t="s">
        <v>209</v>
      </c>
      <c r="N28" s="46" t="s">
        <v>210</v>
      </c>
      <c r="O28" s="46" t="s">
        <v>211</v>
      </c>
      <c r="P28" s="46" t="s">
        <v>250</v>
      </c>
      <c r="R28" s="46" t="s">
        <v>212</v>
      </c>
      <c r="S28" s="46" t="s">
        <v>213</v>
      </c>
      <c r="T28" s="46" t="s">
        <v>215</v>
      </c>
      <c r="U28" s="46" t="s">
        <v>220</v>
      </c>
      <c r="V28" s="46" t="s">
        <v>251</v>
      </c>
      <c r="W28" s="46" t="s">
        <v>252</v>
      </c>
      <c r="X28" s="46" t="s">
        <v>253</v>
      </c>
      <c r="Y28" s="46" t="s">
        <v>214</v>
      </c>
      <c r="Z28" s="46" t="s">
        <v>216</v>
      </c>
      <c r="AA28" s="46" t="s">
        <v>217</v>
      </c>
      <c r="AB28" s="46" t="s">
        <v>218</v>
      </c>
      <c r="AC28" s="46" t="s">
        <v>254</v>
      </c>
      <c r="AD28" s="46" t="s">
        <v>221</v>
      </c>
      <c r="AE28" s="46" t="s">
        <v>255</v>
      </c>
      <c r="AF28" s="46" t="s">
        <v>221</v>
      </c>
      <c r="AG28" s="46" t="s">
        <v>72</v>
      </c>
      <c r="AH28" s="46" t="s">
        <v>219</v>
      </c>
      <c r="AI28" s="46" t="s">
        <v>73</v>
      </c>
      <c r="AJ28" s="46" t="s">
        <v>74</v>
      </c>
      <c r="AK28" s="46" t="s">
        <v>256</v>
      </c>
      <c r="AL28" s="46" t="s">
        <v>257</v>
      </c>
      <c r="AM28" s="46" t="s">
        <v>258</v>
      </c>
      <c r="AN28" s="46" t="s">
        <v>259</v>
      </c>
      <c r="AO28" s="46" t="s">
        <v>260</v>
      </c>
      <c r="AP28" s="46" t="s">
        <v>261</v>
      </c>
    </row>
    <row r="29" spans="1:42">
      <c r="A29" s="46" t="s">
        <v>166</v>
      </c>
      <c r="B29" s="46" t="s">
        <v>262</v>
      </c>
      <c r="C29" s="46" t="s">
        <v>43</v>
      </c>
      <c r="E29" s="46" t="s">
        <v>408</v>
      </c>
      <c r="K29" s="46" t="s">
        <v>263</v>
      </c>
      <c r="L29" s="46" t="s">
        <v>264</v>
      </c>
      <c r="M29" s="46" t="s">
        <v>265</v>
      </c>
      <c r="N29" s="46" t="s">
        <v>266</v>
      </c>
      <c r="O29" s="46" t="s">
        <v>267</v>
      </c>
      <c r="P29" s="46" t="s">
        <v>268</v>
      </c>
      <c r="R29" s="46" t="s">
        <v>269</v>
      </c>
      <c r="S29" s="46" t="s">
        <v>270</v>
      </c>
      <c r="T29" s="46" t="s">
        <v>271</v>
      </c>
      <c r="U29" s="46" t="s">
        <v>272</v>
      </c>
      <c r="V29" s="46" t="s">
        <v>273</v>
      </c>
      <c r="W29" s="46" t="s">
        <v>274</v>
      </c>
      <c r="X29" s="46" t="s">
        <v>275</v>
      </c>
      <c r="Y29" s="46" t="s">
        <v>276</v>
      </c>
      <c r="Z29" s="46" t="s">
        <v>277</v>
      </c>
      <c r="AA29" s="46" t="s">
        <v>278</v>
      </c>
      <c r="AB29" s="46" t="s">
        <v>279</v>
      </c>
      <c r="AC29" s="46" t="s">
        <v>280</v>
      </c>
      <c r="AD29" s="46" t="s">
        <v>281</v>
      </c>
      <c r="AE29" s="46" t="s">
        <v>282</v>
      </c>
      <c r="AF29" s="46" t="s">
        <v>281</v>
      </c>
      <c r="AG29" s="46" t="s">
        <v>72</v>
      </c>
      <c r="AH29" s="46" t="s">
        <v>283</v>
      </c>
      <c r="AI29" s="46" t="s">
        <v>73</v>
      </c>
      <c r="AJ29" s="46" t="s">
        <v>74</v>
      </c>
      <c r="AK29" s="46" t="s">
        <v>284</v>
      </c>
      <c r="AL29" s="46" t="s">
        <v>285</v>
      </c>
      <c r="AM29" s="46" t="s">
        <v>286</v>
      </c>
      <c r="AN29" s="46" t="s">
        <v>287</v>
      </c>
      <c r="AO29" s="46" t="s">
        <v>288</v>
      </c>
      <c r="AP29" s="46" t="s">
        <v>289</v>
      </c>
    </row>
    <row r="30" spans="1:42">
      <c r="A30" s="46" t="s">
        <v>166</v>
      </c>
      <c r="B30" s="46" t="s">
        <v>290</v>
      </c>
      <c r="C30" s="46" t="s">
        <v>43</v>
      </c>
      <c r="E30" s="46" t="s">
        <v>409</v>
      </c>
      <c r="K30" s="46" t="s">
        <v>291</v>
      </c>
      <c r="L30" s="46" t="s">
        <v>292</v>
      </c>
      <c r="M30" s="46" t="s">
        <v>293</v>
      </c>
      <c r="N30" s="46" t="s">
        <v>294</v>
      </c>
      <c r="O30" s="46" t="s">
        <v>295</v>
      </c>
      <c r="P30" s="46" t="s">
        <v>296</v>
      </c>
      <c r="R30" s="46" t="s">
        <v>297</v>
      </c>
      <c r="S30" s="46" t="s">
        <v>298</v>
      </c>
      <c r="T30" s="46" t="s">
        <v>299</v>
      </c>
      <c r="U30" s="46" t="s">
        <v>300</v>
      </c>
      <c r="V30" s="46" t="s">
        <v>301</v>
      </c>
      <c r="W30" s="46" t="s">
        <v>302</v>
      </c>
      <c r="X30" s="46" t="s">
        <v>303</v>
      </c>
      <c r="Y30" s="46" t="s">
        <v>304</v>
      </c>
      <c r="Z30" s="46" t="s">
        <v>305</v>
      </c>
      <c r="AA30" s="46" t="s">
        <v>306</v>
      </c>
      <c r="AB30" s="46" t="s">
        <v>307</v>
      </c>
      <c r="AC30" s="46" t="s">
        <v>308</v>
      </c>
      <c r="AD30" s="46" t="s">
        <v>309</v>
      </c>
      <c r="AE30" s="46" t="s">
        <v>310</v>
      </c>
      <c r="AF30" s="46" t="s">
        <v>309</v>
      </c>
      <c r="AG30" s="46" t="s">
        <v>72</v>
      </c>
      <c r="AH30" s="46" t="s">
        <v>311</v>
      </c>
      <c r="AI30" s="46" t="s">
        <v>73</v>
      </c>
      <c r="AJ30" s="46" t="s">
        <v>74</v>
      </c>
      <c r="AK30" s="46" t="s">
        <v>312</v>
      </c>
      <c r="AL30" s="46" t="s">
        <v>313</v>
      </c>
      <c r="AM30" s="46" t="s">
        <v>314</v>
      </c>
      <c r="AN30" s="46" t="s">
        <v>315</v>
      </c>
      <c r="AO30" s="46" t="s">
        <v>316</v>
      </c>
      <c r="AP30" s="46" t="s">
        <v>317</v>
      </c>
    </row>
    <row r="31" spans="1:42">
      <c r="A31" s="46" t="s">
        <v>166</v>
      </c>
      <c r="B31" s="46" t="s">
        <v>318</v>
      </c>
      <c r="C31" s="46" t="s">
        <v>43</v>
      </c>
      <c r="E31" s="46" t="s">
        <v>410</v>
      </c>
      <c r="K31" s="46" t="s">
        <v>319</v>
      </c>
      <c r="L31" s="46" t="s">
        <v>320</v>
      </c>
      <c r="M31" s="46" t="s">
        <v>321</v>
      </c>
      <c r="N31" s="46" t="s">
        <v>322</v>
      </c>
      <c r="O31" s="46" t="s">
        <v>323</v>
      </c>
      <c r="P31" s="46" t="s">
        <v>324</v>
      </c>
      <c r="R31" s="46" t="s">
        <v>325</v>
      </c>
      <c r="S31" s="46" t="s">
        <v>326</v>
      </c>
      <c r="T31" s="46" t="s">
        <v>327</v>
      </c>
      <c r="U31" s="46" t="s">
        <v>328</v>
      </c>
      <c r="V31" s="46" t="s">
        <v>329</v>
      </c>
      <c r="W31" s="46" t="s">
        <v>330</v>
      </c>
      <c r="X31" s="46" t="s">
        <v>331</v>
      </c>
      <c r="Y31" s="46" t="s">
        <v>332</v>
      </c>
      <c r="Z31" s="46" t="s">
        <v>333</v>
      </c>
      <c r="AA31" s="46" t="s">
        <v>334</v>
      </c>
      <c r="AB31" s="46" t="s">
        <v>335</v>
      </c>
      <c r="AC31" s="46" t="s">
        <v>336</v>
      </c>
      <c r="AD31" s="46" t="s">
        <v>337</v>
      </c>
      <c r="AE31" s="46" t="s">
        <v>338</v>
      </c>
      <c r="AF31" s="46" t="s">
        <v>337</v>
      </c>
      <c r="AG31" s="46" t="s">
        <v>72</v>
      </c>
      <c r="AH31" s="46" t="s">
        <v>339</v>
      </c>
      <c r="AI31" s="46" t="s">
        <v>73</v>
      </c>
      <c r="AJ31" s="46" t="s">
        <v>74</v>
      </c>
      <c r="AK31" s="46" t="s">
        <v>340</v>
      </c>
      <c r="AL31" s="46" t="s">
        <v>341</v>
      </c>
      <c r="AM31" s="46" t="s">
        <v>342</v>
      </c>
      <c r="AN31" s="46" t="s">
        <v>343</v>
      </c>
      <c r="AO31" s="46" t="s">
        <v>344</v>
      </c>
      <c r="AP31" s="46" t="s">
        <v>345</v>
      </c>
    </row>
    <row r="32" spans="1:42">
      <c r="A32" s="46" t="s">
        <v>166</v>
      </c>
      <c r="B32" s="46" t="s">
        <v>346</v>
      </c>
      <c r="C32" s="46" t="s">
        <v>43</v>
      </c>
      <c r="E32" s="46" t="s">
        <v>411</v>
      </c>
      <c r="K32" s="46" t="s">
        <v>347</v>
      </c>
      <c r="L32" s="46" t="s">
        <v>348</v>
      </c>
      <c r="M32" s="46" t="s">
        <v>349</v>
      </c>
      <c r="N32" s="46" t="s">
        <v>350</v>
      </c>
      <c r="O32" s="46" t="s">
        <v>351</v>
      </c>
      <c r="P32" s="46" t="s">
        <v>352</v>
      </c>
      <c r="R32" s="46" t="s">
        <v>353</v>
      </c>
      <c r="S32" s="46" t="s">
        <v>354</v>
      </c>
      <c r="T32" s="46" t="s">
        <v>355</v>
      </c>
      <c r="U32" s="46" t="s">
        <v>356</v>
      </c>
      <c r="V32" s="46" t="s">
        <v>357</v>
      </c>
      <c r="W32" s="46" t="s">
        <v>358</v>
      </c>
      <c r="X32" s="46" t="s">
        <v>359</v>
      </c>
      <c r="Y32" s="46" t="s">
        <v>360</v>
      </c>
      <c r="Z32" s="46" t="s">
        <v>361</v>
      </c>
      <c r="AA32" s="46" t="s">
        <v>362</v>
      </c>
      <c r="AB32" s="46" t="s">
        <v>363</v>
      </c>
      <c r="AC32" s="46" t="s">
        <v>364</v>
      </c>
      <c r="AD32" s="46" t="s">
        <v>365</v>
      </c>
      <c r="AE32" s="46" t="s">
        <v>366</v>
      </c>
      <c r="AF32" s="46" t="s">
        <v>365</v>
      </c>
      <c r="AG32" s="46" t="s">
        <v>72</v>
      </c>
      <c r="AH32" s="46" t="s">
        <v>367</v>
      </c>
      <c r="AI32" s="46" t="s">
        <v>73</v>
      </c>
      <c r="AJ32" s="46" t="s">
        <v>74</v>
      </c>
      <c r="AK32" s="46" t="s">
        <v>368</v>
      </c>
      <c r="AL32" s="46" t="s">
        <v>369</v>
      </c>
      <c r="AM32" s="46" t="s">
        <v>370</v>
      </c>
      <c r="AN32" s="46" t="s">
        <v>371</v>
      </c>
      <c r="AO32" s="46" t="s">
        <v>372</v>
      </c>
      <c r="AP32" s="46" t="s">
        <v>373</v>
      </c>
    </row>
    <row r="33" spans="2:29">
      <c r="B33" s="46" t="s">
        <v>374</v>
      </c>
      <c r="C33" s="46" t="s">
        <v>44</v>
      </c>
      <c r="E33" s="46" t="s">
        <v>131</v>
      </c>
      <c r="K33" s="46" t="s">
        <v>375</v>
      </c>
      <c r="L33" s="46" t="s">
        <v>376</v>
      </c>
      <c r="M33" s="46" t="s">
        <v>377</v>
      </c>
      <c r="N33" s="46" t="s">
        <v>378</v>
      </c>
      <c r="O33" s="46" t="s">
        <v>379</v>
      </c>
      <c r="P33" s="46" t="s">
        <v>382</v>
      </c>
      <c r="Q33" s="46" t="s">
        <v>380</v>
      </c>
      <c r="S33" s="46" t="s">
        <v>382</v>
      </c>
      <c r="T33" s="46" t="s">
        <v>383</v>
      </c>
      <c r="V33" s="46" t="s">
        <v>384</v>
      </c>
      <c r="W33" s="46" t="s">
        <v>385</v>
      </c>
      <c r="X33" s="46" t="s">
        <v>412</v>
      </c>
      <c r="Y33" s="46" t="s">
        <v>387</v>
      </c>
      <c r="Z33" s="46" t="s">
        <v>413</v>
      </c>
      <c r="AA33" s="46" t="s">
        <v>381</v>
      </c>
      <c r="AB33" s="46" t="s">
        <v>414</v>
      </c>
      <c r="AC33" s="46" t="s">
        <v>386</v>
      </c>
    </row>
    <row r="34" spans="2:29">
      <c r="B34" s="46" t="s">
        <v>388</v>
      </c>
      <c r="C34" s="46" t="s">
        <v>45</v>
      </c>
      <c r="E34" s="46" t="s">
        <v>148</v>
      </c>
      <c r="K34" s="46" t="s">
        <v>389</v>
      </c>
      <c r="L34" s="46" t="s">
        <v>390</v>
      </c>
      <c r="M34" s="46" t="s">
        <v>391</v>
      </c>
      <c r="N34" s="46" t="s">
        <v>392</v>
      </c>
      <c r="O34" s="46" t="s">
        <v>393</v>
      </c>
      <c r="P34" s="46" t="s">
        <v>396</v>
      </c>
      <c r="Q34" s="46" t="s">
        <v>394</v>
      </c>
      <c r="S34" s="46" t="s">
        <v>396</v>
      </c>
      <c r="T34" s="46" t="s">
        <v>397</v>
      </c>
      <c r="V34" s="46" t="s">
        <v>398</v>
      </c>
      <c r="W34" s="46" t="s">
        <v>399</v>
      </c>
      <c r="X34" s="46" t="s">
        <v>415</v>
      </c>
      <c r="Y34" s="46" t="s">
        <v>401</v>
      </c>
      <c r="Z34" s="46" t="s">
        <v>416</v>
      </c>
      <c r="AA34" s="46" t="s">
        <v>395</v>
      </c>
      <c r="AB34" s="46" t="s">
        <v>417</v>
      </c>
      <c r="AC34" s="46" t="s">
        <v>400</v>
      </c>
    </row>
    <row r="36" spans="2:29">
      <c r="AB36" s="46" t="s">
        <v>418</v>
      </c>
      <c r="AC36" s="46" t="s">
        <v>419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Option</vt:lpstr>
      <vt:lpstr>Data</vt:lpstr>
      <vt:lpstr>Customer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cp:lastPrinted>2020-03-16T07:52:19Z</cp:lastPrinted>
  <dcterms:created xsi:type="dcterms:W3CDTF">2017-04-18T02:36:09Z</dcterms:created>
  <dcterms:modified xsi:type="dcterms:W3CDTF">2026-01-07T04:11:38Z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