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YUEN FUN\XLS\NUHS Cluster (Monthly Report)\2025\"/>
    </mc:Choice>
  </mc:AlternateContent>
  <xr:revisionPtr revIDLastSave="0" documentId="8_{7C3B4F26-2348-41C6-BAEE-1A2D9B6F310A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Option" sheetId="1" state="hidden" r:id="rId1"/>
    <sheet name="Data" sheetId="2" r:id="rId2"/>
    <sheet name="Sheet1" sheetId="4" r:id="rId3"/>
    <sheet name="Customer Code" sheetId="6" r:id="rId4"/>
    <sheet name="Sheet2" sheetId="25" state="veryHidden" r:id="rId5"/>
    <sheet name="Sheet3" sheetId="26" state="veryHidden" r:id="rId6"/>
    <sheet name="Sheet4" sheetId="27" state="veryHidden" r:id="rId7"/>
    <sheet name="Sheet5" sheetId="28" state="veryHidden" r:id="rId8"/>
    <sheet name="Sheet6" sheetId="33" state="veryHidden" r:id="rId9"/>
    <sheet name="Sheet7" sheetId="34" state="very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29" i="2" l="1"/>
  <c r="AA27" i="2"/>
  <c r="AA28" i="2"/>
  <c r="AA29" i="2"/>
  <c r="O29" i="2"/>
  <c r="T29" i="2"/>
  <c r="L29" i="2"/>
  <c r="K29" i="2"/>
  <c r="S29" i="2"/>
  <c r="R29" i="2"/>
  <c r="U25" i="2"/>
  <c r="U24" i="2"/>
  <c r="E24" i="2"/>
  <c r="K24" i="2"/>
  <c r="L24" i="2"/>
  <c r="O24" i="2"/>
  <c r="P24" i="2"/>
  <c r="R24" i="2"/>
  <c r="S24" i="2"/>
  <c r="T24" i="2"/>
  <c r="X24" i="2"/>
  <c r="Y24" i="2"/>
  <c r="Z24" i="2"/>
  <c r="AA24" i="2"/>
  <c r="AD24" i="2"/>
  <c r="AG24" i="2"/>
  <c r="AH24" i="2"/>
  <c r="AJ24" i="2"/>
  <c r="AK24" i="2"/>
  <c r="E25" i="2"/>
  <c r="K25" i="2"/>
  <c r="L25" i="2"/>
  <c r="O25" i="2"/>
  <c r="P25" i="2"/>
  <c r="R25" i="2"/>
  <c r="S25" i="2"/>
  <c r="T25" i="2"/>
  <c r="X25" i="2"/>
  <c r="Y25" i="2"/>
  <c r="Z25" i="2"/>
  <c r="AA25" i="2"/>
  <c r="AD25" i="2"/>
  <c r="AG25" i="2"/>
  <c r="AH25" i="2"/>
  <c r="AJ25" i="2"/>
  <c r="AK25" i="2"/>
  <c r="E26" i="2"/>
  <c r="K26" i="2"/>
  <c r="L26" i="2"/>
  <c r="O26" i="2"/>
  <c r="P26" i="2"/>
  <c r="R26" i="2"/>
  <c r="S26" i="2"/>
  <c r="T26" i="2"/>
  <c r="U26" i="2"/>
  <c r="X26" i="2"/>
  <c r="Y26" i="2"/>
  <c r="Z26" i="2"/>
  <c r="AA26" i="2"/>
  <c r="AD26" i="2"/>
  <c r="AG26" i="2"/>
  <c r="AH26" i="2"/>
  <c r="AJ26" i="2"/>
  <c r="AK26" i="2"/>
  <c r="E27" i="2"/>
  <c r="K27" i="2"/>
  <c r="L27" i="2"/>
  <c r="O27" i="2"/>
  <c r="R27" i="2"/>
  <c r="S27" i="2"/>
  <c r="T27" i="2"/>
  <c r="V27" i="2"/>
  <c r="X27" i="2" s="1"/>
  <c r="Y27" i="2"/>
  <c r="Z27" i="2"/>
  <c r="AB27" i="2"/>
  <c r="AC27" i="2"/>
  <c r="AD27" i="2"/>
  <c r="E28" i="2"/>
  <c r="K28" i="2"/>
  <c r="L28" i="2"/>
  <c r="O28" i="2"/>
  <c r="R28" i="2"/>
  <c r="S28" i="2"/>
  <c r="T28" i="2"/>
  <c r="V28" i="2"/>
  <c r="X28" i="2" s="1"/>
  <c r="Y28" i="2"/>
  <c r="Z28" i="2"/>
  <c r="AB28" i="2"/>
  <c r="AC28" i="2"/>
  <c r="AD28" i="2"/>
  <c r="D5" i="1"/>
  <c r="B9" i="6"/>
  <c r="B8" i="6"/>
  <c r="B7" i="6"/>
  <c r="H6" i="2"/>
  <c r="H5" i="2"/>
  <c r="H4" i="2"/>
  <c r="E2" i="2"/>
  <c r="C26" i="1"/>
  <c r="C25" i="1"/>
  <c r="C24" i="1"/>
  <c r="D15" i="1"/>
  <c r="D14" i="1"/>
  <c r="D13" i="1"/>
  <c r="C13" i="1" s="1"/>
  <c r="E16" i="2" s="1"/>
  <c r="C12" i="1"/>
  <c r="E15" i="2" s="1"/>
  <c r="C11" i="1"/>
  <c r="E14" i="2" s="1"/>
  <c r="C10" i="1"/>
  <c r="E13" i="2" s="1"/>
  <c r="C5" i="1"/>
  <c r="E12" i="2" s="1"/>
  <c r="C4" i="1"/>
  <c r="C3" i="1"/>
  <c r="C9" i="1" s="1"/>
  <c r="E11" i="2" s="1"/>
  <c r="B26" i="2" l="1"/>
  <c r="B25" i="2"/>
  <c r="B24" i="2"/>
  <c r="D5" i="2"/>
  <c r="I6" i="2"/>
  <c r="D4" i="2"/>
  <c r="E4" i="2" s="1"/>
  <c r="D6" i="2"/>
  <c r="I5" i="2"/>
  <c r="C8" i="1"/>
  <c r="E6" i="2" l="1"/>
  <c r="E5" i="2"/>
  <c r="B28" i="2"/>
  <c r="B27" i="2"/>
</calcChain>
</file>

<file path=xl/sharedStrings.xml><?xml version="1.0" encoding="utf-8"?>
<sst xmlns="http://schemas.openxmlformats.org/spreadsheetml/2006/main" count="991" uniqueCount="309">
  <si>
    <t>Option</t>
  </si>
  <si>
    <t>Title</t>
  </si>
  <si>
    <t>Value</t>
  </si>
  <si>
    <t>Lookup</t>
  </si>
  <si>
    <t>UICACS</t>
  </si>
  <si>
    <t>Date From</t>
  </si>
  <si>
    <t>Date to</t>
  </si>
  <si>
    <t>Hide</t>
  </si>
  <si>
    <t>DateFilter Text</t>
  </si>
  <si>
    <t>DateFilter Value</t>
  </si>
  <si>
    <t>Script2</t>
  </si>
  <si>
    <t>Script1</t>
  </si>
  <si>
    <t>Description</t>
  </si>
  <si>
    <t>Quantity</t>
  </si>
  <si>
    <t>DocNum</t>
  </si>
  <si>
    <t>PO No</t>
  </si>
  <si>
    <t>DocDate</t>
  </si>
  <si>
    <t>PO Date</t>
  </si>
  <si>
    <t>fit</t>
  </si>
  <si>
    <t>Database</t>
  </si>
  <si>
    <t>Final Script</t>
  </si>
  <si>
    <t>Fields</t>
  </si>
  <si>
    <t>From</t>
  </si>
  <si>
    <t>UNION</t>
  </si>
  <si>
    <t>FROM2</t>
  </si>
  <si>
    <t xml:space="preserve">UNION ALL </t>
  </si>
  <si>
    <t>Sales Person</t>
  </si>
  <si>
    <t>Date F TO</t>
  </si>
  <si>
    <t>SP</t>
  </si>
  <si>
    <t>Datasource</t>
  </si>
  <si>
    <t>Agreement No</t>
  </si>
  <si>
    <t>CardCode</t>
  </si>
  <si>
    <t>Name</t>
  </si>
  <si>
    <t>Primary Public Cust No</t>
  </si>
  <si>
    <t>Cust Pur No</t>
  </si>
  <si>
    <t>Usage Period</t>
  </si>
  <si>
    <t>Items</t>
  </si>
  <si>
    <t>User</t>
  </si>
  <si>
    <t>Institution</t>
  </si>
  <si>
    <t>MSENR</t>
  </si>
  <si>
    <t>1/11/10 to 31/10/2013</t>
  </si>
  <si>
    <t>Script3</t>
  </si>
  <si>
    <t>ENR</t>
  </si>
  <si>
    <t>PRODTYPE</t>
  </si>
  <si>
    <t>BPCODE</t>
  </si>
  <si>
    <t>5,6,7,8,9,10,11,12,13,14,15,16,17,18,19,20,21,22,23,24,25,26,27,28,29,30,31,32,33,34,35,36,37,38,39,40,41,42,43,44,45,46,47,48,49,50,51,52,53,54,55,56,57,58,59,60,61,62,63,64,65,66,67,68,69,70,71,72,73,74,75,76,77,78,79,80,81,82,83,84,85,86,87,88,89,90,91,92,93,94,95,96,97,98,99,100,101,102,103,104,105,106,107,108,109</t>
  </si>
  <si>
    <t>Hide+?</t>
  </si>
  <si>
    <t>ORDER</t>
  </si>
  <si>
    <t>NL1 - IN</t>
  </si>
  <si>
    <t>NL2 - DO-ENR</t>
  </si>
  <si>
    <t>NL3 - DO-MSENR</t>
  </si>
  <si>
    <t xml:space="preserve">SELECT DOCNUM, CUSTREF, U_CUSTREF, DOCDATE,TAXDATE, CARDCODE,CARDNAME,ITEMCODE,ITEMNAME,QUANTITY,U_TLINTCOS,SLPNAME,SLPCODE,MEMO,CONTACTNAME, LINETOTAL ,U_ENR, U_MSENR,U_MSPCN,U_SONO,U_PONO,U_PODATE, ADDRESS2 FROM   </t>
  </si>
  <si>
    <t xml:space="preserve">SELECT DOCNUM, CUSTREF, U_CUSTREF, DOCDATE,TAXDATE, CARDCODE,CARDNAME,ITEMCODE,ITEMNAME,QUANTITY,U_TLINTCOS,SLPNAME,SLPCODE,MEMO,CONTACTNAME, LINETOTAL ,U_ENR, U_MSENR,U_MSPCN,U_SONO,U_PONO,U_PODATE, ADDRESS2  FROM   </t>
  </si>
  <si>
    <t>hide</t>
  </si>
  <si>
    <t>FACT FIG( ENR = 'S7138270','7138270' Or MSENR = 'S7138270','7138270' ) 
ITM( ItemCode &lt;&gt; 'YX-A/C RECOVERABLE' And ItemCode &lt;&gt; 'YX-SSUP' And ItemCode &lt;&gt; '101' And ItemCode &lt;&gt; '102' And ItemCode &lt;&gt; '103' And ItemCode &lt;&gt; '104' And ItemCode &lt;&gt; '105' And ItemCode = #NULL Or PRODTYPE_1 = 'MS' ) 
SLP( @SalesEmployee ) ARDT( Code = 'Invoice' ) PER( @Period )  
BPA( CardCode = 'CI1148-SGD','CN0035-SGD','CN0097-SGD','CN0245-SGD' Or CardCode = 'CA0035-SGD','CA0213-SGD','CJ0032-SGD','CJ0050-SGD','CJ0054-SGD' Or CardCode = 'CI1238-SGD','CI1244-SGD','CI1252-SGD','CI1278-SGD','CI1305-SGD','CN0025-SGD':'CN0026-SGD','CJ0032-SGD','CN0170-SGD','CN0210-SGD','CN0384-SGD','CT0005-SGD' Or CardCode = 'CI1296-SGD','CA0216-SGD','CT0122-SGD' ) 
Group By FIG.SO_DocNum ,BPA.CardCode ,BPA.CardName ,FIG.SO_DocDate ,ITM.ItemCode ,SLP.SlpName ,SLP.Memo Order By SLP.SlpName Ascending ,FIG.SO_DocNum Ascending ,ITM.ItemCode Ascending</t>
  </si>
  <si>
    <t>FACT BPA( CardCode = "CI1148-SGD","CN0035-SGD","CN0097-SGD","CN0245-SGD" Or CardCode = "CA0035-SGD","CN0384-SGD","CA0213-SGD","CJ0032-SGD","CJ0050-SGD","CJ0054-SGD" Or CardCode = "CI1238-SGD","CI1244-SGD","CI1252-SGD","CI1278-SGD","CI1305-SGD","CN0025-SGD":"CN0026-SGD","CN0170-SGD","CN0210-SGD","CT0005-SGD" Or CardCode = "CI1296-SGD","CA0216-SGD","CJ0032-SGD","CT0122-SGD" ) 
FIG( MSENR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</si>
  <si>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FACT BPA( CardCode = "CI1148-SGD","CN0035-SGD","CN0097-SGD","CN0245-SGD" Or CardCode = "CA0035-SGD","CA0213-SGD","CJ0032-SGD","CJ0050-SGD","CJ0054-SGD" Or CardCode = "CI1238-SGD","CN0384-SGD","CI1244-SGD","CI1252-SGD","CI1278-SGD","CI1305-SGD","CN0025-SGD":"CN0026-SGD","CN0170-SGD","CN0210-SGD","CT0005-SGD" Or CardCode = "CI1296-SGD","CA0216-SGD","CJ0032-SGD","CT0122-SGD" ) 
FIG( 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</si>
  <si>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Unit Price</t>
  </si>
  <si>
    <t>Total</t>
  </si>
  <si>
    <t>SO_DocNum</t>
  </si>
  <si>
    <t>SO_DocDate</t>
  </si>
  <si>
    <t>BPA - CardCode</t>
  </si>
  <si>
    <t>BPA - CardName</t>
  </si>
  <si>
    <t>MSPCN</t>
  </si>
  <si>
    <t>CUSTREF</t>
  </si>
  <si>
    <t>ITM - ItemCode</t>
  </si>
  <si>
    <t>ITM - ItemName</t>
  </si>
  <si>
    <t>SLP - Memo</t>
  </si>
  <si>
    <t>SO_Quantity</t>
  </si>
  <si>
    <t>BPA - CntctPrsn</t>
  </si>
  <si>
    <t>SO_Address2</t>
  </si>
  <si>
    <t>PODATE</t>
  </si>
  <si>
    <t>PONO</t>
  </si>
  <si>
    <t>SO_LineTotal</t>
  </si>
  <si>
    <t>x</t>
  </si>
  <si>
    <t>Auto+Hide</t>
  </si>
  <si>
    <t>NUHS</t>
  </si>
  <si>
    <t>Original Code before Mar 2020</t>
  </si>
  <si>
    <t>Month</t>
  </si>
  <si>
    <t>Year</t>
  </si>
  <si>
    <t>Cluster</t>
  </si>
  <si>
    <t>Date of Licenses key Emailed</t>
  </si>
  <si>
    <t>Elasped days for delivery</t>
  </si>
  <si>
    <t>Bulk Purchase Discount %</t>
  </si>
  <si>
    <t>PO Value</t>
  </si>
  <si>
    <t>Reseller</t>
  </si>
  <si>
    <t>Delivery Location</t>
  </si>
  <si>
    <t>Category</t>
  </si>
  <si>
    <t>Software  Brand</t>
  </si>
  <si>
    <t>Software  SKU/Part No</t>
  </si>
  <si>
    <t>Software  Name</t>
  </si>
  <si>
    <t>Software  Subscription</t>
  </si>
  <si>
    <t>Software License Commencement Date</t>
  </si>
  <si>
    <t>Software License End Date</t>
  </si>
  <si>
    <t>Remarks</t>
  </si>
  <si>
    <t xml:space="preserve"> </t>
  </si>
  <si>
    <t>UIC</t>
  </si>
  <si>
    <t>Microsoft</t>
  </si>
  <si>
    <t>PCN</t>
  </si>
  <si>
    <t>NUHS Cusomer  Code</t>
  </si>
  <si>
    <t>="*"</t>
  </si>
  <si>
    <t>=NL("Lookup","OSLP",{"SlpCode","SlpName","Memo"},"Schema=",$C$2)</t>
  </si>
  <si>
    <t>=TEXT($C$3,"dd/MMM/yyyy") &amp; ".." &amp; TEXT($C$4,"dd/MMM/yyyy")</t>
  </si>
  <si>
    <t>=TEXT($C$3,"yyyyMMdd") &amp; ".." &amp; TEXT($C$4,"yyyyMMdd")</t>
  </si>
  <si>
    <t>="'S7138270','7138270' ,'s7138270'"</t>
  </si>
  <si>
    <t>="'MS'"</t>
  </si>
  <si>
    <t>=$D$13&amp;$D$14&amp;$D$15</t>
  </si>
  <si>
    <t>="'CI1148-SGD','CN0035-SGD', 'CA0035-SGD','CN0359-SGD','CJ0050-SGD', 'CG0164-SGD','CY0036-SGD','CI1244-SGD',"</t>
  </si>
  <si>
    <t>="'CI1252-SGD','CI1278-SGD','CI1305-SGD','CN0025-SGD','CN0026-SGD','CN0170-SGD','CN0210-SGD','CI1296-SGD','CA0216-SGD','CT0122-SGD'"</t>
  </si>
  <si>
    <t>="'CI1148-SGD','CN0035-SGD','CN0097-SGD','CN0245-SGD' , 'CA0035-SGD','CA0213-SGD','CJ0032-SGD','CJ0050-SGD','CJ0054-SGD' , 'CI1238-SGD','CG0164-SGD','CY0036-SGD','CI1244-SGD',"</t>
  </si>
  <si>
    <t>="'CI1252-SGD','CI1278-SGD','CI1305-SGD','CN0025-SGD','CN0026-SGD','CJ0032-SGD','CN0170-SGD','CN0210-SGD','CN0384-SGD','CT0005-SGD' , 'CI1296-SGD','CA0216-SGD','CT0122-SGD'"</t>
  </si>
  <si>
    <t>="'CW0080-SGD','CY0036-SGD','CA0362-SGD','CN0449-SGD','CW0080-SGD','CG0164-SGD'"</t>
  </si>
  <si>
    <t>=Option!$C$2</t>
  </si>
  <si>
    <t>=".AF_CV_XL_INVOICE where (CARDCODE IN (" &amp; $E$16 &amp; ")) AND (U_ENR IN ("&amp; $E$13 &amp;")  OR U_MSENR IN (" &amp; $E$14 &amp;")) AND U_PRODTYPE =" &amp; $E$15 &amp; " AND %Filter1% AND %Filter2%   "</t>
  </si>
  <si>
    <t>="SQL="&amp;$F$4&amp;$E$2&amp;$D$4&amp;$H$4</t>
  </si>
  <si>
    <t>=" ORDER BY DOCNUM, DOCDATE"</t>
  </si>
  <si>
    <t>=".AF_CV_XL_DELIVERY where (CARDCODE IN (" &amp; $E$16 &amp; ")) AND U_ENR IN ("&amp; $E$13 &amp;")  AND U_PRODTYPE =" &amp; $E$15 &amp; " AND %Filter1% AND %Filter2%   "</t>
  </si>
  <si>
    <t>="SQL="&amp;$F$5&amp;$E$2&amp;$D$5 &amp;$G$5 &amp;$F$5&amp;$E$2&amp;$I$5&amp;H5</t>
  </si>
  <si>
    <t>=".AF_CV_XL_RETURN where (CARDCODE IN (" &amp; $E$16 &amp; ")) AND U_ENR IN ("&amp; $E$13 &amp;")  AND U_PRODTYPE =" &amp; $E$15 &amp; " AND %Filter1% AND %Filter2%   "</t>
  </si>
  <si>
    <t>=".AF_CV_XL_DELIVERY where (CARDCODE IN (" &amp; $E$16 &amp; ")) AND U_MSENR IN (" &amp; $E$14 &amp;") AND U_PRODTYPE =" &amp; $E$15 &amp; " AND %Filter1% AND %Filter2%   "</t>
  </si>
  <si>
    <t>="SQL="&amp;$F$6&amp;$E$2&amp;$D$6 &amp;$G$6 &amp;$F$6&amp;$E$2&amp;$I$6&amp;H6</t>
  </si>
  <si>
    <t>=".AF_CV_XL_RETURN where (CARDCODE IN (" &amp; $E$16 &amp; ")) AND U_MSENR IN (" &amp; $E$14 &amp;") AND U_PRODTYPE =" &amp; $E$15 &amp; " AND %Filter1% AND %Filter2%   "</t>
  </si>
  <si>
    <t>=Option!$C$9</t>
  </si>
  <si>
    <t>=Option!$C$5</t>
  </si>
  <si>
    <t>=Option!$C$10</t>
  </si>
  <si>
    <t>=Option!$C$11</t>
  </si>
  <si>
    <t>=Option!$C$12</t>
  </si>
  <si>
    <t>=Option!$C$13</t>
  </si>
  <si>
    <t>=IF(K24="","Hide","Show")</t>
  </si>
  <si>
    <t>=NL("Rows",$E$4,{"DOCNUM","CUSTREF","U_CUSTREF","DOCDATE","TAXDATE","CARDCODE","CARDNAME","ITEMCODE","ITEMNAME","ITEMNAME","QUANTITY","U_PONO","U_PODATE","U_TLINTCOS","SLPCODE","SLPNAME","MEMO","CONTACTNAME","LINETOTAL","U_ENR","U_MSENR","U_MSPCN","ADDRESS2"},"1S=DOCDATE",$E$11,"2S=SLPCODE",$E$12)</t>
  </si>
  <si>
    <t>=MONTH(N24)</t>
  </si>
  <si>
    <t>=YEAR(N24)</t>
  </si>
  <si>
    <t>=IF(K25="","Hide","Show")</t>
  </si>
  <si>
    <t>=NL("Rows",$E$5,{"DOCNUM","CUSTREF","U_CUSTREF","DOCDATE","TAXDATE","CARDCODE","CARDNAME","ITEMCODE","ITEMNAME","ITEMNAME","QUANTITY","U_TLINTCOS","SLPCODE","SLPNAME","MEMO","CONTACTNAME","LINETOTAL","U_ENR","U_MSENR","U_MSPCN","ADDRESS2"},"1S=DOCDATE",$E$11,"2S=SLPCODE",$E$12)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</si>
  <si>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=IF(K26="","Hide","Show")</t>
  </si>
  <si>
    <t>=NL("Rows",$E$6,{"DOCNUM","CUSTREF","U_CUSTREF","DOCDATE","TAXDATE","CARDCODE","CARDNAME","ITEMCODE","ITEMNAME","ITEMNAME","QUANTITY","U_TLINTCOS","SLPCODE","SLPNAME","MEMO","CONTACTNAME","LINETOTAL","U_ENR","U_MSENR","U_MSPCN","ADDRESS2"},"1S=DOCDATE",$E$11,"2S=SLPCODE",$E$12)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</si>
  <si>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=SUBTOTAL(9,AC24:AC27)</t>
  </si>
  <si>
    <t>Auto</t>
  </si>
  <si>
    <t>=MONTH(N25)</t>
  </si>
  <si>
    <t>=YEAR(N25)</t>
  </si>
  <si>
    <t>=MONTH(N26)</t>
  </si>
  <si>
    <t>=YEAR(N26)</t>
  </si>
  <si>
    <t>=IF(K27="","Hide","Show")</t>
  </si>
  <si>
    <t>=MONTH(N27)</t>
  </si>
  <si>
    <t>=YEAR(N27)</t>
  </si>
  <si>
    <t>=IF(K28="","Hide","Show")</t>
  </si>
  <si>
    <t>=IF(K29="","Hide","Show")</t>
  </si>
  <si>
    <t>Auto+Hide+HideSheet+Formulas=Sheet2,Sheet3+FormulasOnly</t>
  </si>
  <si>
    <t>Auto+Hide+Values+Formulas=Sheet4,Sheet5+FormulasOnly</t>
  </si>
  <si>
    <t>=IFERROR(NF($E24,"DOCNUM"),"-")</t>
  </si>
  <si>
    <t>=IFERROR(NF($E24,"DOCDATE"),"-")</t>
  </si>
  <si>
    <t>=IFERROR(NF($E24,"U_MSENR"),"-")</t>
  </si>
  <si>
    <t>=IFERROR(NF($E24,"U_MSPCN"),"-")</t>
  </si>
  <si>
    <t>=IFERROR(NF($E24,"CARDCODE"),"-")</t>
  </si>
  <si>
    <t>=IFERROR(NF($E24,"CARDNAME"),"-")</t>
  </si>
  <si>
    <t>=IFERROR(NF($E24,"U_CUSTREF"),"-")</t>
  </si>
  <si>
    <t>=IFERROR(NF($E24,"U_PONo"),"-")</t>
  </si>
  <si>
    <t>=IFERROR(NF($E24,"U_PODate"),"-")</t>
  </si>
  <si>
    <t>=IFERROR(NF($E24,"DOCdate"),"-")</t>
  </si>
  <si>
    <t>=SUM(N24-V24)</t>
  </si>
  <si>
    <t>=IFERROR(NF($E24,"ITEMCODE"),"-")</t>
  </si>
  <si>
    <t>=IFERROR(NF($E24,"ITEMNAME"),"-")</t>
  </si>
  <si>
    <t>=IFERROR(NF($E24,"MEMO"),"-")</t>
  </si>
  <si>
    <t>=IFERROR(NF($E24,"QUANTITY"),"-")</t>
  </si>
  <si>
    <t>=IFERROR(AD24/AB24,0)</t>
  </si>
  <si>
    <t>=IFERROR(NF($E24,"LINETOTAL"),"-")</t>
  </si>
  <si>
    <t>=IFERROR(NF($E24,"U_BPurDisc"),"-")</t>
  </si>
  <si>
    <t>=IFERROR(NF($E24,"ADDRESS2"),"-")</t>
  </si>
  <si>
    <t>=IFERROR(NF($E24,"ItemCode"),"-")</t>
  </si>
  <si>
    <t>=IFERROR(NF($E24,"ItemName"),"-")</t>
  </si>
  <si>
    <t>=IFERROR(NF($E24,"U_SWSub"),"-")</t>
  </si>
  <si>
    <t>=IFERROR(NF($E24,"U_LicComDt"),"-")</t>
  </si>
  <si>
    <t>=IFERROR(NF($E24,"U_LicEndDt"),"-")</t>
  </si>
  <si>
    <t>=IFERROR(NF($E24,"Comments"),"-")</t>
  </si>
  <si>
    <t>=IFERROR(NF($E25,"DOCNUM"),"-")</t>
  </si>
  <si>
    <t>=IFERROR(NF($E25,"DOCDATE"),"-")</t>
  </si>
  <si>
    <t>=IFERROR(NF($E25,"U_MSENR"),"-")</t>
  </si>
  <si>
    <t>=IFERROR(NF($E25,"CARDCODE"),"-")</t>
  </si>
  <si>
    <t>=IFERROR(NF($E25,"CARDNAME"),"-")</t>
  </si>
  <si>
    <t>=IFERROR(NF($E25,"ITEMCODE"),"-")</t>
  </si>
  <si>
    <t>=IFERROR(NF($E25,"U_CUSTREF"),"-")</t>
  </si>
  <si>
    <t>=IFERROR(NF($E25,"ITEMNAME"),"-")</t>
  </si>
  <si>
    <t>=IFERROR(NF($E25,"MEMO"),"-")</t>
  </si>
  <si>
    <t>=IFERROR(NF($E25,"QUANTITY"),"-")</t>
  </si>
  <si>
    <t>=IFERROR(AD25/AB25,0)</t>
  </si>
  <si>
    <t>=IFERROR(NF($E25,"LINETOTAL"),"-")</t>
  </si>
  <si>
    <t>=IFERROR(NF($E25,"CONTACTNAME"),"-")</t>
  </si>
  <si>
    <t>=IFERROR(NF($E25,"ADDRESS2"),"-")</t>
  </si>
  <si>
    <t>=IFERROR(NF($E25,"U_PODATE"),"-")</t>
  </si>
  <si>
    <t>=IFERROR(NF($E25,"U_PONO"),"-")</t>
  </si>
  <si>
    <t>=IFERROR(NF($E26,"DOCNUM"),"-")</t>
  </si>
  <si>
    <t>=IFERROR(NF($E26,"DOCDATE"),"-")</t>
  </si>
  <si>
    <t>=IFERROR(NF($E26,"U_MSENR"),"-")</t>
  </si>
  <si>
    <t>=IFERROR(NF($E26,"CARDCODE"),"-")</t>
  </si>
  <si>
    <t>=IFERROR(NF($E26,"CARDNAME"),"-")</t>
  </si>
  <si>
    <t>=IFERROR(NF($E26,"ITEMCODE"),"-")</t>
  </si>
  <si>
    <t>=IFERROR(NF($E26,"U_CUSTREF"),"-")</t>
  </si>
  <si>
    <t>=IFERROR(NF($E26,"ITEMNAME"),"-")</t>
  </si>
  <si>
    <t>=IFERROR(NF($E26,"MEMO"),"-")</t>
  </si>
  <si>
    <t>=IFERROR(NF($E26,"QUANTITY"),"-")</t>
  </si>
  <si>
    <t>=IFERROR(AD26/AB26,0)</t>
  </si>
  <si>
    <t>=IFERROR(NF($E26,"LINETOTAL"),"-")</t>
  </si>
  <si>
    <t>=IFERROR(NF($E26,"CONTACTNAME"),"-")</t>
  </si>
  <si>
    <t>=IFERROR(NF($E26,"ADDRESS2"),"-")</t>
  </si>
  <si>
    <t>=IFERROR(NF($E26,"U_PODATE"),"-")</t>
  </si>
  <si>
    <t>=IFERROR(NF($E26,"U_PONO"),"-")</t>
  </si>
  <si>
    <t>=SUBTOTAL(9,AD24:AD27)</t>
  </si>
  <si>
    <t>=IFERROR(NF($E25,"U_MSPCN"),"-")</t>
  </si>
  <si>
    <t>=IFERROR(NF($E25,"U_PONo"),"-")</t>
  </si>
  <si>
    <t>=IFERROR(NF($E25,"U_PODate"),"-")</t>
  </si>
  <si>
    <t>=IFERROR(NF($E25,"DOCdate"),"-")</t>
  </si>
  <si>
    <t>=SUM(N25-V25)</t>
  </si>
  <si>
    <t>=IFERROR(NF($E25,"U_BPurDisc"),"-")</t>
  </si>
  <si>
    <t>=IFERROR(NF($E25,"ItemCode"),"-")</t>
  </si>
  <si>
    <t>=IFERROR(NF($E25,"ItemName"),"-")</t>
  </si>
  <si>
    <t>=IFERROR(NF($E25,"U_SWSub"),"-")</t>
  </si>
  <si>
    <t>=IFERROR(NF($E25,"U_LicComDt"),"-")</t>
  </si>
  <si>
    <t>=IFERROR(NF($E25,"U_LicEndDt"),"-")</t>
  </si>
  <si>
    <t>=IFERROR(NF($E25,"Comments"),"-")</t>
  </si>
  <si>
    <t>=IFERROR(NF($E26,"U_MSPCN"),"-")</t>
  </si>
  <si>
    <t>=IFERROR(NF($E26,"U_PONo"),"-")</t>
  </si>
  <si>
    <t>=IFERROR(NF($E26,"U_PODate"),"-")</t>
  </si>
  <si>
    <t>=IFERROR(NF($E26,"DOCdate"),"-")</t>
  </si>
  <si>
    <t>=SUM(N26-V26)</t>
  </si>
  <si>
    <t>=IFERROR(NF($E26,"U_BPurDisc"),"-")</t>
  </si>
  <si>
    <t>=IFERROR(NF($E26,"ItemCode"),"-")</t>
  </si>
  <si>
    <t>=IFERROR(NF($E26,"ItemName"),"-")</t>
  </si>
  <si>
    <t>=IFERROR(NF($E26,"U_SWSub"),"-")</t>
  </si>
  <si>
    <t>=IFERROR(NF($E26,"U_LicComDt"),"-")</t>
  </si>
  <si>
    <t>=IFERROR(NF($E26,"U_LicEndDt"),"-")</t>
  </si>
  <si>
    <t>=IFERROR(NF($E26,"Comments"),"-")</t>
  </si>
  <si>
    <t>=IFERROR(NF($E27,"DOCNUM"),"-")</t>
  </si>
  <si>
    <t>=IFERROR(NF($E27,"DOCDATE"),"-")</t>
  </si>
  <si>
    <t>=IFERROR(NF($E27,"U_MSENR"),"-")</t>
  </si>
  <si>
    <t>=IFERROR(NF($E27,"U_MSPCN"),"-")</t>
  </si>
  <si>
    <t>=IFERROR(NF($E27,"CARDCODE"),"-")</t>
  </si>
  <si>
    <t>=IFERROR(NF($E27,"CARDNAME"),"-")</t>
  </si>
  <si>
    <t>=IFERROR(NF($E27,"U_CUSTREF"),"-")</t>
  </si>
  <si>
    <t>=IFERROR(NF($E27,"U_PONo"),"-")</t>
  </si>
  <si>
    <t>=IFERROR(NF($E27,"U_PODate"),"-")</t>
  </si>
  <si>
    <t>=IFERROR(NF($E27,"DOCdate"),"-")</t>
  </si>
  <si>
    <t>=SUM(N27-V27)</t>
  </si>
  <si>
    <t>=IFERROR(NF($E27,"ITEMCODE"),"-")</t>
  </si>
  <si>
    <t>=IFERROR(NF($E27,"ITEMNAME"),"-")</t>
  </si>
  <si>
    <t>=IFERROR(NF($E27,"MEMO"),"-")</t>
  </si>
  <si>
    <t>=IFERROR(NF($E27,"QUANTITY"),"-")</t>
  </si>
  <si>
    <t>=IFERROR(AD27/AB27,0)</t>
  </si>
  <si>
    <t>=IFERROR(NF($E27,"LINETOTAL"),"-")</t>
  </si>
  <si>
    <t>=IFERROR(NF($E27,"U_BPurDisc"),"-")</t>
  </si>
  <si>
    <t>=IFERROR(NF($E27,"ADDRESS2"),"-")</t>
  </si>
  <si>
    <t>=IFERROR(NF($E27,"ItemCode"),"-")</t>
  </si>
  <si>
    <t>=IFERROR(NF($E27,"ItemName"),"-")</t>
  </si>
  <si>
    <t>=IFERROR(NF($E27,"U_SWSub"),"-")</t>
  </si>
  <si>
    <t>=IFERROR(NF($E27,"U_LicComDt"),"-")</t>
  </si>
  <si>
    <t>=IFERROR(NF($E27,"U_LicEndDt"),"-")</t>
  </si>
  <si>
    <t>=IFERROR(NF($E27,"Comments"),"-")</t>
  </si>
  <si>
    <t>=IFERROR(NF($E28,"DOCNUM"),"-")</t>
  </si>
  <si>
    <t>=IFERROR(NF($E28,"DOCDATE"),"-")</t>
  </si>
  <si>
    <t>=IFERROR(NF($E28,"U_MSENR"),"-")</t>
  </si>
  <si>
    <t>=IFERROR(NF($E28,"CARDCODE"),"-")</t>
  </si>
  <si>
    <t>=IFERROR(NF($E28,"CARDNAME"),"-")</t>
  </si>
  <si>
    <t>=IFERROR(NF($E28,"U_CUSTREF"),"-")</t>
  </si>
  <si>
    <t>=IFERROR(NF($E28,"ITEMCODE"),"-")</t>
  </si>
  <si>
    <t>=IFERROR(NF($E28,"ITEMNAME"),"-")</t>
  </si>
  <si>
    <t>=IFERROR(NF($E28,"MEMO"),"-")</t>
  </si>
  <si>
    <t>=IFERROR(NF($E28,"QUANTITY"),"-")</t>
  </si>
  <si>
    <t>=IFERROR(AD28/AB28,0)</t>
  </si>
  <si>
    <t>=IFERROR(NF($E28,"LINETOTAL"),"-")</t>
  </si>
  <si>
    <t>=IFERROR(NF($E28,"ADDRESS2"),"-")</t>
  </si>
  <si>
    <t>=IFERROR(NF($E29,"DOCNUM"),"-")</t>
  </si>
  <si>
    <t>=IFERROR(NF($E29,"DOCDATE"),"-")</t>
  </si>
  <si>
    <t>=IFERROR(NF($E29,"U_MSENR"),"-")</t>
  </si>
  <si>
    <t>=IFERROR(NF($E29,"CARDCODE"),"-")</t>
  </si>
  <si>
    <t>=IFERROR(NF($E29,"CARDNAME"),"-")</t>
  </si>
  <si>
    <t>=IFERROR(NF($E29,"U_CUSTREF"),"-")</t>
  </si>
  <si>
    <t>=IFERROR(NF($E29,"ITEMCODE"),"-")</t>
  </si>
  <si>
    <t>=IFERROR(NF($E29,"ITEMNAME"),"-")</t>
  </si>
  <si>
    <t>=IFERROR(NF($E29,"MEMO"),"-")</t>
  </si>
  <si>
    <t>=IFERROR(NF($E29,"QUANTITY"),"-")</t>
  </si>
  <si>
    <t>=IFERROR(AD29/AB29,0)</t>
  </si>
  <si>
    <t>=IFERROR(NF($E29,"LINETOTAL"),"-")</t>
  </si>
  <si>
    <t>=IFERROR(NF($E29,"ADDRESS2"),"-")</t>
  </si>
  <si>
    <t>="'CW0080-SGD','CY0036-SGD','CW0080-SGD','CS0167-SGD','CS0200-SGD','CG0164-SGD'"</t>
  </si>
  <si>
    <t>="01/12/2025"</t>
  </si>
  <si>
    <t>="31/12/2025"</t>
  </si>
  <si>
    <t>Auto+Hide+HideSheet+Formulas=Sheet6,Sheet2,Sheet3</t>
  </si>
  <si>
    <t>Auto+Hide+HideSheet+Formulas=Sheet6,Sheet2,Sheet3+FormulasOnly</t>
  </si>
  <si>
    <t>Auto+Hide+Values+Formulas=Sheet7,Sheet4,Sheet5</t>
  </si>
  <si>
    <t>="""UICACS"","""",""SQL="",""2=DOCNUM"",""33041082"",""14=CUSTREF"",""2025101968"",""14=U_CUSTREF"",""2025101968"",""15=DOCDATE"",""10/12/2025"",""15=TAXDATE"",""10/12/2025"",""14=CARDCODE"",""CS0167-SGD"",""14=CARDNAME"",""ST LUKE'S HOSPITAL"",""14=ITEMCODE"",""MSEP2-27380GLP"",""14=ITEMNAME"","""&amp;"MS OFFICE STANDARD 2024 SLNG LTSC"",""10=QUANTITY"",""1.000000"",""14=U_PONO"","""",""15=U_PODATE"","""",""10=U_TLINTCOS"",""0.000000"",""2=SLPCODE"",""101"",""14=SLPNAME"",""E0001-MM"",""14=MEMO"",""MELIZA MARQUEZ"",""14=CONTACTNAME"",""JULIETTE LIM"",""10=LINETOTAL"",""427.690000"",""14=U_E"&amp;"NR"","""",""14=U_MSENR"",""S7138270"",""14=U_MSPCN"",""B816AA67"",""14=ADDRESS2"",""KELVIN PHAY / JULIETTE LIM_x000D_ST LUKE's HOSPITAL 2 BUKIT BATOK STREET 11  SINGAPORE 659674_x000D_MR KELVIN PHAY / MS JULIETTE LIM_x000D_TEL: 6895 3207/6895 3430_x000D_FAX: _x000D_EMAIL: kelvinphay@stluke.org.sg/j"&amp;"uliettelim@stluke.org.sg"""</t>
  </si>
  <si>
    <t>="""UICACS"","""",""SQL="",""2=DOCNUM"",""33041154"",""14=CUSTREF"",""2025102001"",""14=U_CUSTREF"",""2025102001"",""15=DOCDATE"",""17/12/2025"",""15=TAXDATE"",""17/12/2025"",""14=CARDCODE"",""CS0167-SGD"",""14=CARDNAME"",""ST LUKE'S HOSPITAL"",""14=ITEMCODE"",""MSEP2-27380GLP"",""14=ITEMNAME"","""&amp;"MS OFFICE STANDARD 2024 SLNG LTSC"",""10=QUANTITY"",""23.000000"",""14=U_PONO"","""",""15=U_PODATE"","""",""10=U_TLINTCOS"",""0.000000"",""2=SLPCODE"",""101"",""14=SLPNAME"",""E0001-MM"",""14=MEMO"",""MELIZA MARQUEZ"",""14=CONTACTNAME"",""JULIETTE LIM"",""10=LINETOTAL"",""9983.150000"",""14=U"&amp;"_ENR"","""",""14=U_MSENR"",""S7138270"",""14=U_MSPCN"",""B816AA67"",""14=ADDRESS2"",""ST LUKE'S HOSPITAL LTD (JULIETTE)_x000D_2 BUKIT BATOK STREET 11 LEVEL 3, IT DEPT  SINGAPORE 659674_x000D_MS JULIETTE LIM_x000D_TEL: 6895 3430_x000D_FAX: 6561 8205_x000D_EMAIL: juliettelim@stluke.org.sg"""</t>
  </si>
  <si>
    <t>="""UICACS"","""",""SQL="",""2=DOCNUM"",""33041182"",""14=CUSTREF"",""2025101996"",""14=U_CUSTREF"",""2025101996"",""15=DOCDATE"",""19/12/2025"",""15=TAXDATE"",""19/12/2025"",""14=CARDCODE"",""CS0167-SGD"",""14=CARDNAME"",""ST LUKE'S HOSPITAL"",""14=ITEMCODE"",""MSEP2-27380GLP"",""14=ITEMNAME"","""&amp;"MS OFFICE STANDARD 2024 SLNG LTSC"",""10=QUANTITY"",""1.000000"",""14=U_PONO"",""961481"",""15=U_PODATE"","""",""10=U_TLINTCOS"",""0.000000"",""2=SLPCODE"",""101"",""14=SLPNAME"",""E0001-MM"",""14=MEMO"",""MELIZA MARQUEZ"",""14=CONTACTNAME"",""JULIETTE LIM"",""10=LINETOTAL"",""434.050000"","""&amp;"14=U_ENR"","""",""14=U_MSENR"",""S7138270"",""14=U_MSPCN"",""B816AA67"",""14=ADDRESS2"",""ST LUKE'S HOSPITAL LTD (JULIETTE)_x000D_2 BUKIT BATOK STREET 11 LEVEL 3, IT DEPT  SINGAPORE 659674_x000D_MS JULIETTE LIM_x000D_TEL: 6895 3430_x000D_FAX: 6561 8205_x000D_EMAIL: juliettelim@stluke.org.sg"""</t>
  </si>
  <si>
    <t>=IFERROR(NF($E28,"CONTACTNAME"),"-")</t>
  </si>
  <si>
    <t>=IFERROR(NF($E28,"U_PODATE"),"-")</t>
  </si>
  <si>
    <t>=IFERROR(NF($E28,"U_PONO"),"-")</t>
  </si>
  <si>
    <t>=IFERROR(NF($E29,"CONTACTNAME"),"-")</t>
  </si>
  <si>
    <t>=IFERROR(NF($E29,"U_PODATE"),"-")</t>
  </si>
  <si>
    <t>=IFERROR(NF($E29,"U_PONO"),"-")</t>
  </si>
  <si>
    <t>=SUBTOTAL(9,AC24:AC30)</t>
  </si>
  <si>
    <t>=SUBTOTAL(9,AD24:AD30)</t>
  </si>
  <si>
    <t>Auto+Hide+Values+Formulas=Sheet7,Sheet4,Sheet5+FormulasOnly</t>
  </si>
  <si>
    <t>Perpetual License</t>
  </si>
  <si>
    <t>UIC PO No</t>
  </si>
  <si>
    <t>AB57EDFE</t>
  </si>
  <si>
    <t>License with SA</t>
  </si>
  <si>
    <t>01.01.2026</t>
  </si>
  <si>
    <t>31.10.2027</t>
  </si>
  <si>
    <t>MS9EM-00259GLP</t>
  </si>
  <si>
    <t>MS WIN SERVER STANDARD CORE SLNG LSA 16L</t>
  </si>
  <si>
    <t>NATIONAL UNIVERSITY HEALTH SYSTEM PTE LTD Tower Block, 1E KENT RIDGE ROAD- Level: 13  SINGAPORE 119228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</si>
</sst>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14809]dd/mm/yyyy;@"/>
    <numFmt numFmtId="167" formatCode="dd\-mm\-yyyy"/>
  </numFmts>
  <fonts count="1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 "/>
    </font>
    <font>
      <b/>
      <u/>
      <sz val="11"/>
      <color rgb="FFFFFFFF"/>
      <name val="Baskerville Old Face"/>
      <family val="1"/>
    </font>
    <font>
      <b/>
      <sz val="12"/>
      <name val="Aharoni"/>
      <charset val="177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name val="Aharoni"/>
      <charset val="177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rgb="FFFFFFFF"/>
      <name val="Baskerville Old Face"/>
      <family val="1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b/>
      <u/>
      <sz val="14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74">
    <xf numFmtId="0" fontId="0" fillId="0" borderId="0" xfId="0"/>
    <xf numFmtId="0" fontId="0" fillId="2" borderId="0" xfId="0" applyFill="1" applyAlignment="1">
      <alignment vertical="top"/>
    </xf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vertical="top"/>
    </xf>
    <xf numFmtId="0" fontId="0" fillId="0" borderId="0" xfId="0" quotePrefix="1" applyAlignment="1">
      <alignment vertical="top"/>
    </xf>
    <xf numFmtId="0" fontId="0" fillId="4" borderId="0" xfId="0" applyFill="1" applyAlignment="1">
      <alignment vertical="top"/>
    </xf>
    <xf numFmtId="0" fontId="0" fillId="0" borderId="0" xfId="0" applyAlignment="1">
      <alignment vertical="top" wrapText="1"/>
    </xf>
    <xf numFmtId="0" fontId="2" fillId="0" borderId="0" xfId="1" applyFont="1" applyAlignment="1">
      <alignment vertical="top"/>
    </xf>
    <xf numFmtId="0" fontId="3" fillId="3" borderId="0" xfId="0" applyFont="1" applyFill="1" applyAlignment="1">
      <alignment horizontal="center" vertical="top"/>
    </xf>
    <xf numFmtId="0" fontId="3" fillId="3" borderId="0" xfId="0" applyFont="1" applyFill="1" applyAlignment="1">
      <alignment horizontal="left" vertical="top"/>
    </xf>
    <xf numFmtId="40" fontId="3" fillId="3" borderId="0" xfId="0" applyNumberFormat="1" applyFont="1" applyFill="1" applyAlignment="1">
      <alignment horizontal="center" vertical="top"/>
    </xf>
    <xf numFmtId="0" fontId="0" fillId="5" borderId="0" xfId="0" applyFill="1" applyAlignment="1">
      <alignment vertical="top"/>
    </xf>
    <xf numFmtId="0" fontId="0" fillId="2" borderId="0" xfId="0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0" borderId="0" xfId="0" applyNumberFormat="1" applyAlignment="1">
      <alignment vertical="top"/>
    </xf>
    <xf numFmtId="167" fontId="0" fillId="2" borderId="0" xfId="0" applyNumberFormat="1" applyFill="1" applyAlignment="1">
      <alignment vertical="top"/>
    </xf>
    <xf numFmtId="167" fontId="0" fillId="0" borderId="0" xfId="0" applyNumberFormat="1" applyAlignment="1">
      <alignment vertical="top"/>
    </xf>
    <xf numFmtId="167" fontId="3" fillId="3" borderId="0" xfId="0" applyNumberFormat="1" applyFont="1" applyFill="1" applyAlignment="1">
      <alignment horizontal="center" vertical="top"/>
    </xf>
    <xf numFmtId="1" fontId="0" fillId="0" borderId="0" xfId="0" applyNumberFormat="1" applyAlignment="1">
      <alignment vertical="top"/>
    </xf>
    <xf numFmtId="0" fontId="4" fillId="0" borderId="0" xfId="1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2" borderId="0" xfId="0" applyFill="1" applyAlignment="1">
      <alignment horizontal="center" vertical="top"/>
    </xf>
    <xf numFmtId="0" fontId="0" fillId="6" borderId="0" xfId="0" applyFill="1" applyAlignment="1">
      <alignment vertical="top"/>
    </xf>
    <xf numFmtId="0" fontId="0" fillId="6" borderId="0" xfId="0" applyFill="1" applyAlignment="1">
      <alignment vertical="top" wrapText="1"/>
    </xf>
    <xf numFmtId="0" fontId="0" fillId="6" borderId="0" xfId="0" applyFill="1" applyAlignment="1">
      <alignment horizontal="center" vertical="top"/>
    </xf>
    <xf numFmtId="167" fontId="0" fillId="6" borderId="0" xfId="0" applyNumberFormat="1" applyFill="1" applyAlignment="1">
      <alignment vertical="top"/>
    </xf>
    <xf numFmtId="1" fontId="0" fillId="6" borderId="0" xfId="0" applyNumberFormat="1" applyFill="1" applyAlignment="1">
      <alignment vertical="top"/>
    </xf>
    <xf numFmtId="0" fontId="0" fillId="0" borderId="0" xfId="0" applyAlignment="1">
      <alignment wrapText="1"/>
    </xf>
    <xf numFmtId="0" fontId="6" fillId="7" borderId="0" xfId="0" applyFont="1" applyFill="1"/>
    <xf numFmtId="14" fontId="6" fillId="7" borderId="0" xfId="0" applyNumberFormat="1" applyFont="1" applyFill="1"/>
    <xf numFmtId="40" fontId="6" fillId="7" borderId="0" xfId="0" applyNumberFormat="1" applyFont="1" applyFill="1"/>
    <xf numFmtId="0" fontId="1" fillId="0" borderId="0" xfId="0" applyFont="1"/>
    <xf numFmtId="14" fontId="1" fillId="0" borderId="0" xfId="0" applyNumberFormat="1" applyFont="1"/>
    <xf numFmtId="40" fontId="1" fillId="0" borderId="0" xfId="0" applyNumberFormat="1" applyFont="1"/>
    <xf numFmtId="165" fontId="0" fillId="2" borderId="0" xfId="2" applyNumberFormat="1" applyFont="1" applyFill="1" applyAlignment="1">
      <alignment vertical="top"/>
    </xf>
    <xf numFmtId="165" fontId="0" fillId="0" borderId="0" xfId="2" applyNumberFormat="1" applyFont="1" applyAlignment="1">
      <alignment vertical="top"/>
    </xf>
    <xf numFmtId="165" fontId="0" fillId="6" borderId="0" xfId="2" applyNumberFormat="1" applyFont="1" applyFill="1" applyAlignment="1">
      <alignment vertical="top"/>
    </xf>
    <xf numFmtId="40" fontId="0" fillId="0" borderId="0" xfId="2" applyNumberFormat="1" applyFont="1" applyAlignment="1">
      <alignment vertical="top"/>
    </xf>
    <xf numFmtId="166" fontId="0" fillId="0" borderId="0" xfId="0" applyNumberFormat="1" applyAlignment="1">
      <alignment horizontal="center" vertical="top"/>
    </xf>
    <xf numFmtId="0" fontId="7" fillId="2" borderId="0" xfId="0" applyFont="1" applyFill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165" fontId="7" fillId="0" borderId="0" xfId="2" applyNumberFormat="1" applyFont="1" applyAlignment="1">
      <alignment vertical="top"/>
    </xf>
    <xf numFmtId="0" fontId="12" fillId="8" borderId="0" xfId="0" applyFont="1" applyFill="1" applyAlignment="1">
      <alignment vertical="top"/>
    </xf>
    <xf numFmtId="14" fontId="0" fillId="2" borderId="0" xfId="0" applyNumberFormat="1" applyFill="1" applyAlignment="1">
      <alignment horizontal="center" vertical="top"/>
    </xf>
    <xf numFmtId="14" fontId="0" fillId="0" borderId="0" xfId="0" applyNumberFormat="1" applyAlignment="1">
      <alignment horizontal="center" vertical="top"/>
    </xf>
    <xf numFmtId="14" fontId="0" fillId="6" borderId="0" xfId="0" applyNumberFormat="1" applyFill="1" applyAlignment="1">
      <alignment horizontal="center" vertical="top"/>
    </xf>
    <xf numFmtId="14" fontId="4" fillId="0" borderId="0" xfId="1" applyNumberFormat="1" applyFont="1" applyAlignment="1">
      <alignment horizontal="center" vertical="top"/>
    </xf>
    <xf numFmtId="0" fontId="4" fillId="0" borderId="0" xfId="1" applyFont="1" applyAlignment="1">
      <alignment horizontal="center" vertical="top" wrapText="1"/>
    </xf>
    <xf numFmtId="14" fontId="0" fillId="0" borderId="0" xfId="0" applyNumberFormat="1" applyAlignment="1">
      <alignment vertical="top" wrapText="1"/>
    </xf>
    <xf numFmtId="0" fontId="13" fillId="0" borderId="0" xfId="0" applyFont="1" applyAlignment="1">
      <alignment vertical="top"/>
    </xf>
    <xf numFmtId="165" fontId="11" fillId="3" borderId="0" xfId="2" applyNumberFormat="1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167" fontId="11" fillId="3" borderId="0" xfId="0" applyNumberFormat="1" applyFont="1" applyFill="1" applyAlignment="1">
      <alignment horizontal="center" vertical="center"/>
    </xf>
    <xf numFmtId="0" fontId="11" fillId="3" borderId="0" xfId="0" applyFont="1" applyFill="1" applyAlignment="1">
      <alignment horizontal="left" vertical="center"/>
    </xf>
    <xf numFmtId="14" fontId="11" fillId="3" borderId="0" xfId="0" applyNumberFormat="1" applyFont="1" applyFill="1" applyAlignment="1">
      <alignment horizontal="center" vertical="center"/>
    </xf>
    <xf numFmtId="40" fontId="11" fillId="3" borderId="0" xfId="0" applyNumberFormat="1" applyFont="1" applyFill="1" applyAlignment="1">
      <alignment horizontal="center" vertical="center"/>
    </xf>
    <xf numFmtId="40" fontId="0" fillId="0" borderId="0" xfId="2" applyNumberFormat="1" applyFont="1" applyAlignment="1">
      <alignment horizontal="center" vertical="top"/>
    </xf>
    <xf numFmtId="1" fontId="0" fillId="0" borderId="0" xfId="0" applyNumberFormat="1" applyAlignment="1">
      <alignment horizontal="center" vertical="top"/>
    </xf>
    <xf numFmtId="0" fontId="14" fillId="0" borderId="0" xfId="0" applyFont="1" applyAlignment="1">
      <alignment horizontal="left" vertical="top"/>
    </xf>
    <xf numFmtId="0" fontId="15" fillId="0" borderId="0" xfId="0" applyFont="1"/>
    <xf numFmtId="0" fontId="0" fillId="0" borderId="0" xfId="0" quotePrefix="1"/>
    <xf numFmtId="0" fontId="8" fillId="0" borderId="0" xfId="1" applyFont="1" applyAlignment="1">
      <alignment horizontal="center" vertical="top"/>
    </xf>
    <xf numFmtId="0" fontId="16" fillId="0" borderId="0" xfId="0" applyFont="1"/>
    <xf numFmtId="0" fontId="16" fillId="0" borderId="0" xfId="0" applyFont="1" applyAlignment="1">
      <alignment horizontal="center"/>
    </xf>
    <xf numFmtId="0" fontId="17" fillId="0" borderId="0" xfId="0" applyFont="1" applyAlignment="1">
      <alignment vertical="top"/>
    </xf>
    <xf numFmtId="14" fontId="0" fillId="0" borderId="0" xfId="0" applyNumberFormat="1" applyAlignment="1">
      <alignment horizontal="center" vertical="top" wrapText="1"/>
    </xf>
  </cellXfs>
  <cellStyles count="3"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opLeftCell="B2" zoomScale="112" zoomScaleNormal="112" workbookViewId="0">
      <selection activeCell="D15" sqref="D15"/>
    </sheetView>
  </sheetViews>
  <sheetFormatPr defaultColWidth="9.140625" defaultRowHeight="15"/>
  <cols>
    <col min="1" max="1" width="21" style="1" hidden="1" customWidth="1"/>
    <col min="2" max="2" width="12.140625" style="4" bestFit="1" customWidth="1"/>
    <col min="3" max="3" width="31.85546875" style="4" customWidth="1"/>
    <col min="4" max="4" width="10.140625" style="4" bestFit="1" customWidth="1"/>
    <col min="5" max="16384" width="9.140625" style="4"/>
  </cols>
  <sheetData>
    <row r="1" spans="1:5" s="1" customFormat="1" hidden="1">
      <c r="A1" s="1" t="s">
        <v>285</v>
      </c>
      <c r="B1" s="1" t="s">
        <v>1</v>
      </c>
      <c r="C1" s="2" t="s">
        <v>2</v>
      </c>
      <c r="D1" s="1" t="s">
        <v>3</v>
      </c>
    </row>
    <row r="2" spans="1:5">
      <c r="B2" s="4" t="s">
        <v>19</v>
      </c>
      <c r="C2" s="4" t="s">
        <v>4</v>
      </c>
    </row>
    <row r="3" spans="1:5">
      <c r="A3" s="1" t="s">
        <v>0</v>
      </c>
      <c r="B3" s="4" t="s">
        <v>5</v>
      </c>
      <c r="C3" s="5" t="str">
        <f>"01/12/2025"</f>
        <v>01/12/2025</v>
      </c>
    </row>
    <row r="4" spans="1:5">
      <c r="A4" s="1" t="s">
        <v>0</v>
      </c>
      <c r="B4" s="4" t="s">
        <v>6</v>
      </c>
      <c r="C4" s="5" t="str">
        <f>"31/12/2025"</f>
        <v>31/12/2025</v>
      </c>
    </row>
    <row r="5" spans="1:5">
      <c r="A5" s="1" t="s">
        <v>0</v>
      </c>
      <c r="B5" s="4" t="s">
        <v>26</v>
      </c>
      <c r="C5" s="4" t="str">
        <f>"*"</f>
        <v>*</v>
      </c>
      <c r="D5" s="4" t="str">
        <f>"Lookup"</f>
        <v>Lookup</v>
      </c>
      <c r="E5" s="4" t="s">
        <v>45</v>
      </c>
    </row>
    <row r="8" spans="1:5">
      <c r="A8" s="1" t="s">
        <v>8</v>
      </c>
      <c r="C8" s="3" t="str">
        <f>TEXT($C$3,"dd/MMM/yyyy") &amp; ".." &amp; TEXT($C$4,"dd/MMM/yyyy")</f>
        <v>01/Dec/2025..31/Dec/2025</v>
      </c>
    </row>
    <row r="9" spans="1:5">
      <c r="A9" s="1" t="s">
        <v>9</v>
      </c>
      <c r="C9" s="3" t="str">
        <f>TEXT($C$3,"yyyyMMdd") &amp; ".." &amp; TEXT($C$4,"yyyyMMdd")</f>
        <v>20251201..20251231</v>
      </c>
    </row>
    <row r="10" spans="1:5">
      <c r="B10" s="4" t="s">
        <v>42</v>
      </c>
      <c r="C10" s="6" t="str">
        <f>"'S7138270','7138270' ,'s7138270'"</f>
        <v>'S7138270','7138270' ,'s7138270'</v>
      </c>
    </row>
    <row r="11" spans="1:5">
      <c r="B11" s="4" t="s">
        <v>39</v>
      </c>
      <c r="C11" s="6" t="str">
        <f>"'S7138270','7138270' ,'s7138270'"</f>
        <v>'S7138270','7138270' ,'s7138270'</v>
      </c>
    </row>
    <row r="12" spans="1:5">
      <c r="B12" s="4" t="s">
        <v>43</v>
      </c>
      <c r="C12" s="6" t="str">
        <f>"'MS'"</f>
        <v>'MS'</v>
      </c>
    </row>
    <row r="13" spans="1:5">
      <c r="B13" s="4" t="s">
        <v>44</v>
      </c>
      <c r="C13" s="4" t="str">
        <f>$D$13&amp;$D$14&amp;$D$15</f>
        <v>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</v>
      </c>
      <c r="D13" s="6" t="str">
        <f>"'CI1148-SGD','CN0035-SGD', 'CA0035-SGD','CN0359-SGD','CJ0050-SGD', 'CG0164-SGD','CY0036-SGD','CI1244-SGD',"</f>
        <v>'CI1148-SGD','CN0035-SGD', 'CA0035-SGD','CN0359-SGD','CJ0050-SGD', 'CG0164-SGD','CY0036-SGD','CI1244-SGD',</v>
      </c>
    </row>
    <row r="14" spans="1:5">
      <c r="D14" s="4" t="str">
        <f>"'CI1252-SGD','CI1278-SGD','CI1305-SGD','CN0025-SGD','CN0026-SGD','CN0170-SGD','CN0210-SGD','CI1296-SGD','CA0216-SGD','CT0122-SGD'"</f>
        <v>'CI1252-SGD','CI1278-SGD','CI1305-SGD','CN0025-SGD','CN0026-SGD','CN0170-SGD','CN0210-SGD','CI1296-SGD','CA0216-SGD','CT0122-SGD'</v>
      </c>
    </row>
    <row r="15" spans="1:5">
      <c r="D15" s="4" t="str">
        <f>"'CW0080-SGD','CY0036-SGD','CW0080-SGD','CS0167-SGD','CS0200-SGD','CG0164-SGD'"</f>
        <v>'CW0080-SGD','CY0036-SGD','CW0080-SGD','CS0167-SGD','CS0200-SGD','CG0164-SGD'</v>
      </c>
    </row>
    <row r="23" spans="3:7">
      <c r="C23" s="45" t="s">
        <v>77</v>
      </c>
    </row>
    <row r="24" spans="3:7">
      <c r="C24" s="6" t="str">
        <f>"'CI1148-SGD','CN0035-SGD','CN0097-SGD','CN0245-SGD' , 'CA0035-SGD','CA0213-SGD','CJ0032-SGD','CJ0050-SGD','CJ0054-SGD' , 'CI1238-SGD','CG0164-SGD','CY0036-SGD','CI1244-SGD',"</f>
        <v>'CI1148-SGD','CN0035-SGD','CN0097-SGD','CN0245-SGD' , 'CA0035-SGD','CA0213-SGD','CJ0032-SGD','CJ0050-SGD','CJ0054-SGD' , 'CI1238-SGD','CG0164-SGD','CY0036-SGD','CI1244-SGD',</v>
      </c>
    </row>
    <row r="25" spans="3:7">
      <c r="C25" s="4" t="str">
        <f>"'CI1252-SGD','CI1278-SGD','CI1305-SGD','CN0025-SGD','CN0026-SGD','CJ0032-SGD','CN0170-SGD','CN0210-SGD','CN0384-SGD','CT0005-SGD' , 'CI1296-SGD','CA0216-SGD','CT0122-SGD'"</f>
        <v>'CI1252-SGD','CI1278-SGD','CI1305-SGD','CN0025-SGD','CN0026-SGD','CJ0032-SGD','CN0170-SGD','CN0210-SGD','CN0384-SGD','CT0005-SGD' , 'CI1296-SGD','CA0216-SGD','CT0122-SGD'</v>
      </c>
    </row>
    <row r="26" spans="3:7">
      <c r="C26" s="4" t="str">
        <f>"'CW0080-SGD','CY0036-SGD','CA0362-SGD','CN0449-SGD','CW0080-SGD','CG0164-SGD'"</f>
        <v>'CW0080-SGD','CY0036-SGD','CA0362-SGD','CN0449-SGD','CW0080-SGD','CG0164-SGD'</v>
      </c>
    </row>
    <row r="27" spans="3:7">
      <c r="F27" s="16"/>
    </row>
    <row r="28" spans="3:7">
      <c r="G28" s="16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3DD2B-F293-432E-BE07-4D84546AF845}">
  <dimension ref="A1:AP31"/>
  <sheetViews>
    <sheetView workbookViewId="0"/>
  </sheetViews>
  <sheetFormatPr defaultRowHeight="15"/>
  <sheetData>
    <row r="1" spans="1:33">
      <c r="A1" s="68" t="s">
        <v>299</v>
      </c>
      <c r="B1" s="68" t="s">
        <v>46</v>
      </c>
      <c r="C1" s="68" t="s">
        <v>7</v>
      </c>
      <c r="D1" s="68" t="s">
        <v>7</v>
      </c>
      <c r="E1" s="68" t="s">
        <v>7</v>
      </c>
      <c r="F1" s="68" t="s">
        <v>7</v>
      </c>
      <c r="G1" s="68" t="s">
        <v>7</v>
      </c>
      <c r="H1" s="68" t="s">
        <v>7</v>
      </c>
      <c r="I1" s="68" t="s">
        <v>7</v>
      </c>
      <c r="J1" s="68" t="s">
        <v>53</v>
      </c>
      <c r="K1" s="68" t="s">
        <v>18</v>
      </c>
      <c r="L1" s="68" t="s">
        <v>18</v>
      </c>
      <c r="O1" s="68" t="s">
        <v>18</v>
      </c>
      <c r="P1" s="68" t="s">
        <v>18</v>
      </c>
      <c r="R1" s="68" t="s">
        <v>18</v>
      </c>
      <c r="S1" s="68" t="s">
        <v>18</v>
      </c>
      <c r="T1" s="68" t="s">
        <v>18</v>
      </c>
      <c r="V1" s="68" t="s">
        <v>18</v>
      </c>
      <c r="W1" s="68" t="s">
        <v>18</v>
      </c>
      <c r="Y1" s="68" t="s">
        <v>7</v>
      </c>
      <c r="Z1" s="68" t="s">
        <v>7</v>
      </c>
      <c r="AA1" s="68" t="s">
        <v>18</v>
      </c>
      <c r="AB1" s="68" t="s">
        <v>18</v>
      </c>
      <c r="AE1" s="68" t="s">
        <v>18</v>
      </c>
      <c r="AG1" s="68" t="s">
        <v>18</v>
      </c>
    </row>
    <row r="2" spans="1:33">
      <c r="A2" s="68" t="s">
        <v>7</v>
      </c>
      <c r="D2" s="68" t="s">
        <v>19</v>
      </c>
      <c r="E2" s="68" t="s">
        <v>112</v>
      </c>
    </row>
    <row r="3" spans="1:33">
      <c r="A3" s="68" t="s">
        <v>7</v>
      </c>
      <c r="D3" s="68" t="s">
        <v>22</v>
      </c>
      <c r="E3" s="68" t="s">
        <v>20</v>
      </c>
      <c r="F3" s="68" t="s">
        <v>21</v>
      </c>
      <c r="G3" s="68" t="s">
        <v>23</v>
      </c>
      <c r="H3" s="68" t="s">
        <v>47</v>
      </c>
      <c r="I3" s="68" t="s">
        <v>24</v>
      </c>
    </row>
    <row r="4" spans="1:33">
      <c r="A4" s="68" t="s">
        <v>7</v>
      </c>
      <c r="C4" s="68" t="s">
        <v>11</v>
      </c>
      <c r="D4" s="68" t="s">
        <v>113</v>
      </c>
      <c r="E4" s="68" t="s">
        <v>114</v>
      </c>
      <c r="F4" s="68" t="s">
        <v>51</v>
      </c>
      <c r="G4" s="68" t="s">
        <v>25</v>
      </c>
      <c r="H4" s="68" t="s">
        <v>115</v>
      </c>
    </row>
    <row r="5" spans="1:33">
      <c r="A5" s="68" t="s">
        <v>7</v>
      </c>
      <c r="C5" s="68" t="s">
        <v>10</v>
      </c>
      <c r="D5" s="68" t="s">
        <v>116</v>
      </c>
      <c r="E5" s="68" t="s">
        <v>117</v>
      </c>
      <c r="F5" s="68" t="s">
        <v>52</v>
      </c>
      <c r="G5" s="68" t="s">
        <v>25</v>
      </c>
      <c r="H5" s="68" t="s">
        <v>115</v>
      </c>
      <c r="I5" s="68" t="s">
        <v>118</v>
      </c>
    </row>
    <row r="6" spans="1:33">
      <c r="A6" s="68" t="s">
        <v>7</v>
      </c>
      <c r="C6" s="68" t="s">
        <v>41</v>
      </c>
      <c r="D6" s="68" t="s">
        <v>119</v>
      </c>
      <c r="E6" s="68" t="s">
        <v>120</v>
      </c>
      <c r="F6" s="68" t="s">
        <v>52</v>
      </c>
      <c r="G6" s="68" t="s">
        <v>25</v>
      </c>
      <c r="H6" s="68" t="s">
        <v>115</v>
      </c>
      <c r="I6" s="68" t="s">
        <v>121</v>
      </c>
    </row>
    <row r="7" spans="1:33">
      <c r="A7" s="68" t="s">
        <v>7</v>
      </c>
    </row>
    <row r="8" spans="1:33">
      <c r="A8" s="68" t="s">
        <v>7</v>
      </c>
    </row>
    <row r="9" spans="1:33">
      <c r="A9" s="68" t="s">
        <v>7</v>
      </c>
    </row>
    <row r="10" spans="1:33">
      <c r="A10" s="68" t="s">
        <v>7</v>
      </c>
    </row>
    <row r="11" spans="1:33">
      <c r="A11" s="68" t="s">
        <v>7</v>
      </c>
      <c r="C11" s="68" t="s">
        <v>27</v>
      </c>
      <c r="E11" s="68" t="s">
        <v>122</v>
      </c>
    </row>
    <row r="12" spans="1:33">
      <c r="A12" s="68" t="s">
        <v>7</v>
      </c>
      <c r="C12" s="68" t="s">
        <v>28</v>
      </c>
      <c r="E12" s="68" t="s">
        <v>123</v>
      </c>
    </row>
    <row r="13" spans="1:33">
      <c r="A13" s="68" t="s">
        <v>7</v>
      </c>
      <c r="C13" s="68" t="s">
        <v>42</v>
      </c>
      <c r="E13" s="68" t="s">
        <v>124</v>
      </c>
    </row>
    <row r="14" spans="1:33">
      <c r="A14" s="68" t="s">
        <v>7</v>
      </c>
      <c r="C14" s="68" t="s">
        <v>39</v>
      </c>
      <c r="E14" s="68" t="s">
        <v>125</v>
      </c>
    </row>
    <row r="15" spans="1:33">
      <c r="A15" s="68" t="s">
        <v>7</v>
      </c>
      <c r="C15" s="68" t="s">
        <v>43</v>
      </c>
      <c r="E15" s="68" t="s">
        <v>126</v>
      </c>
    </row>
    <row r="16" spans="1:33">
      <c r="A16" s="68" t="s">
        <v>7</v>
      </c>
      <c r="C16" s="68" t="s">
        <v>44</v>
      </c>
      <c r="E16" s="68" t="s">
        <v>127</v>
      </c>
    </row>
    <row r="17" spans="1:42">
      <c r="A17" s="68" t="s">
        <v>7</v>
      </c>
    </row>
    <row r="18" spans="1:42">
      <c r="A18" s="68" t="s">
        <v>7</v>
      </c>
    </row>
    <row r="21" spans="1:42">
      <c r="K21" s="68" t="s">
        <v>76</v>
      </c>
    </row>
    <row r="23" spans="1:42">
      <c r="E23" s="68" t="s">
        <v>29</v>
      </c>
      <c r="K23" s="68" t="s">
        <v>78</v>
      </c>
      <c r="L23" s="68" t="s">
        <v>79</v>
      </c>
      <c r="M23" s="68" t="s">
        <v>14</v>
      </c>
      <c r="N23" s="68" t="s">
        <v>16</v>
      </c>
      <c r="O23" s="68" t="s">
        <v>30</v>
      </c>
      <c r="P23" s="68" t="s">
        <v>98</v>
      </c>
      <c r="Q23" s="68" t="s">
        <v>80</v>
      </c>
      <c r="R23" s="68" t="s">
        <v>31</v>
      </c>
      <c r="S23" s="68" t="s">
        <v>38</v>
      </c>
      <c r="T23" s="68" t="s">
        <v>34</v>
      </c>
      <c r="U23" s="68" t="s">
        <v>15</v>
      </c>
      <c r="V23" s="68" t="s">
        <v>17</v>
      </c>
      <c r="W23" s="68" t="s">
        <v>81</v>
      </c>
      <c r="X23" s="68" t="s">
        <v>82</v>
      </c>
      <c r="Y23" s="68" t="s">
        <v>36</v>
      </c>
      <c r="Z23" s="68" t="s">
        <v>12</v>
      </c>
      <c r="AA23" s="68" t="s">
        <v>32</v>
      </c>
      <c r="AB23" s="68" t="s">
        <v>13</v>
      </c>
      <c r="AC23" s="68" t="s">
        <v>57</v>
      </c>
      <c r="AD23" s="68" t="s">
        <v>58</v>
      </c>
      <c r="AE23" s="68" t="s">
        <v>83</v>
      </c>
      <c r="AF23" s="68" t="s">
        <v>84</v>
      </c>
      <c r="AG23" s="68" t="s">
        <v>85</v>
      </c>
      <c r="AH23" s="68" t="s">
        <v>86</v>
      </c>
      <c r="AI23" s="68" t="s">
        <v>87</v>
      </c>
      <c r="AJ23" s="68" t="s">
        <v>88</v>
      </c>
      <c r="AK23" s="68" t="s">
        <v>89</v>
      </c>
      <c r="AL23" s="68" t="s">
        <v>90</v>
      </c>
      <c r="AM23" s="68" t="s">
        <v>91</v>
      </c>
      <c r="AN23" s="68" t="s">
        <v>92</v>
      </c>
      <c r="AO23" s="68" t="s">
        <v>93</v>
      </c>
      <c r="AP23" s="68" t="s">
        <v>94</v>
      </c>
    </row>
    <row r="24" spans="1:42">
      <c r="B24" s="68" t="s">
        <v>128</v>
      </c>
      <c r="C24" s="68" t="s">
        <v>48</v>
      </c>
      <c r="E24" s="68" t="s">
        <v>129</v>
      </c>
      <c r="K24" s="68" t="s">
        <v>130</v>
      </c>
      <c r="L24" s="68" t="s">
        <v>131</v>
      </c>
      <c r="M24" s="68" t="s">
        <v>149</v>
      </c>
      <c r="N24" s="68" t="s">
        <v>150</v>
      </c>
      <c r="O24" s="68" t="s">
        <v>151</v>
      </c>
      <c r="P24" s="68" t="s">
        <v>152</v>
      </c>
      <c r="R24" s="68" t="s">
        <v>153</v>
      </c>
      <c r="S24" s="68" t="s">
        <v>154</v>
      </c>
      <c r="T24" s="68" t="s">
        <v>155</v>
      </c>
      <c r="U24" s="68" t="s">
        <v>156</v>
      </c>
      <c r="V24" s="68" t="s">
        <v>157</v>
      </c>
      <c r="W24" s="68" t="s">
        <v>158</v>
      </c>
      <c r="X24" s="68" t="s">
        <v>159</v>
      </c>
      <c r="Y24" s="68" t="s">
        <v>160</v>
      </c>
      <c r="Z24" s="68" t="s">
        <v>161</v>
      </c>
      <c r="AA24" s="68" t="s">
        <v>162</v>
      </c>
      <c r="AB24" s="68" t="s">
        <v>163</v>
      </c>
      <c r="AC24" s="68" t="s">
        <v>164</v>
      </c>
      <c r="AD24" s="68" t="s">
        <v>165</v>
      </c>
      <c r="AE24" s="68" t="s">
        <v>166</v>
      </c>
      <c r="AF24" s="68" t="s">
        <v>165</v>
      </c>
      <c r="AG24" s="68" t="s">
        <v>96</v>
      </c>
      <c r="AH24" s="68" t="s">
        <v>167</v>
      </c>
      <c r="AI24" s="68" t="s">
        <v>95</v>
      </c>
      <c r="AJ24" s="68" t="s">
        <v>97</v>
      </c>
      <c r="AK24" s="68" t="s">
        <v>168</v>
      </c>
      <c r="AL24" s="68" t="s">
        <v>169</v>
      </c>
      <c r="AM24" s="68" t="s">
        <v>170</v>
      </c>
      <c r="AN24" s="68" t="s">
        <v>171</v>
      </c>
      <c r="AO24" s="68" t="s">
        <v>172</v>
      </c>
      <c r="AP24" s="68" t="s">
        <v>173</v>
      </c>
    </row>
    <row r="25" spans="1:42">
      <c r="A25" s="68" t="s">
        <v>137</v>
      </c>
      <c r="B25" s="68" t="s">
        <v>132</v>
      </c>
      <c r="C25" s="68" t="s">
        <v>48</v>
      </c>
      <c r="E25" s="68" t="s">
        <v>288</v>
      </c>
      <c r="K25" s="68" t="s">
        <v>138</v>
      </c>
      <c r="L25" s="68" t="s">
        <v>139</v>
      </c>
      <c r="M25" s="68" t="s">
        <v>174</v>
      </c>
      <c r="N25" s="68" t="s">
        <v>175</v>
      </c>
      <c r="O25" s="68" t="s">
        <v>176</v>
      </c>
      <c r="P25" s="68" t="s">
        <v>207</v>
      </c>
      <c r="R25" s="68" t="s">
        <v>177</v>
      </c>
      <c r="S25" s="68" t="s">
        <v>178</v>
      </c>
      <c r="T25" s="68" t="s">
        <v>180</v>
      </c>
      <c r="U25" s="68" t="s">
        <v>208</v>
      </c>
      <c r="V25" s="68" t="s">
        <v>209</v>
      </c>
      <c r="W25" s="68" t="s">
        <v>210</v>
      </c>
      <c r="X25" s="68" t="s">
        <v>211</v>
      </c>
      <c r="Y25" s="68" t="s">
        <v>179</v>
      </c>
      <c r="Z25" s="68" t="s">
        <v>181</v>
      </c>
      <c r="AA25" s="68" t="s">
        <v>182</v>
      </c>
      <c r="AB25" s="68" t="s">
        <v>183</v>
      </c>
      <c r="AC25" s="68" t="s">
        <v>184</v>
      </c>
      <c r="AD25" s="68" t="s">
        <v>185</v>
      </c>
      <c r="AE25" s="68" t="s">
        <v>212</v>
      </c>
      <c r="AF25" s="68" t="s">
        <v>185</v>
      </c>
      <c r="AG25" s="68" t="s">
        <v>96</v>
      </c>
      <c r="AH25" s="68" t="s">
        <v>187</v>
      </c>
      <c r="AI25" s="68" t="s">
        <v>95</v>
      </c>
      <c r="AJ25" s="68" t="s">
        <v>97</v>
      </c>
      <c r="AK25" s="68" t="s">
        <v>213</v>
      </c>
      <c r="AL25" s="68" t="s">
        <v>214</v>
      </c>
      <c r="AM25" s="68" t="s">
        <v>215</v>
      </c>
      <c r="AN25" s="68" t="s">
        <v>216</v>
      </c>
      <c r="AO25" s="68" t="s">
        <v>217</v>
      </c>
      <c r="AP25" s="68" t="s">
        <v>218</v>
      </c>
    </row>
    <row r="26" spans="1:42">
      <c r="A26" s="68" t="s">
        <v>137</v>
      </c>
      <c r="B26" s="68" t="s">
        <v>134</v>
      </c>
      <c r="C26" s="68" t="s">
        <v>48</v>
      </c>
      <c r="E26" s="68" t="s">
        <v>289</v>
      </c>
      <c r="K26" s="68" t="s">
        <v>140</v>
      </c>
      <c r="L26" s="68" t="s">
        <v>141</v>
      </c>
      <c r="M26" s="68" t="s">
        <v>190</v>
      </c>
      <c r="N26" s="68" t="s">
        <v>191</v>
      </c>
      <c r="O26" s="68" t="s">
        <v>192</v>
      </c>
      <c r="P26" s="68" t="s">
        <v>219</v>
      </c>
      <c r="R26" s="68" t="s">
        <v>193</v>
      </c>
      <c r="S26" s="68" t="s">
        <v>194</v>
      </c>
      <c r="T26" s="68" t="s">
        <v>196</v>
      </c>
      <c r="U26" s="68" t="s">
        <v>220</v>
      </c>
      <c r="V26" s="68" t="s">
        <v>221</v>
      </c>
      <c r="W26" s="68" t="s">
        <v>222</v>
      </c>
      <c r="X26" s="68" t="s">
        <v>223</v>
      </c>
      <c r="Y26" s="68" t="s">
        <v>195</v>
      </c>
      <c r="Z26" s="68" t="s">
        <v>197</v>
      </c>
      <c r="AA26" s="68" t="s">
        <v>198</v>
      </c>
      <c r="AB26" s="68" t="s">
        <v>199</v>
      </c>
      <c r="AC26" s="68" t="s">
        <v>200</v>
      </c>
      <c r="AD26" s="68" t="s">
        <v>201</v>
      </c>
      <c r="AE26" s="68" t="s">
        <v>224</v>
      </c>
      <c r="AF26" s="68" t="s">
        <v>201</v>
      </c>
      <c r="AG26" s="68" t="s">
        <v>96</v>
      </c>
      <c r="AH26" s="68" t="s">
        <v>203</v>
      </c>
      <c r="AI26" s="68" t="s">
        <v>95</v>
      </c>
      <c r="AJ26" s="68" t="s">
        <v>97</v>
      </c>
      <c r="AK26" s="68" t="s">
        <v>225</v>
      </c>
      <c r="AL26" s="68" t="s">
        <v>226</v>
      </c>
      <c r="AM26" s="68" t="s">
        <v>227</v>
      </c>
      <c r="AN26" s="68" t="s">
        <v>228</v>
      </c>
      <c r="AO26" s="68" t="s">
        <v>229</v>
      </c>
      <c r="AP26" s="68" t="s">
        <v>230</v>
      </c>
    </row>
    <row r="27" spans="1:42">
      <c r="A27" s="68" t="s">
        <v>137</v>
      </c>
      <c r="B27" s="68" t="s">
        <v>142</v>
      </c>
      <c r="C27" s="68" t="s">
        <v>48</v>
      </c>
      <c r="E27" s="68" t="s">
        <v>290</v>
      </c>
      <c r="K27" s="68" t="s">
        <v>143</v>
      </c>
      <c r="L27" s="68" t="s">
        <v>144</v>
      </c>
      <c r="M27" s="68" t="s">
        <v>231</v>
      </c>
      <c r="N27" s="68" t="s">
        <v>232</v>
      </c>
      <c r="O27" s="68" t="s">
        <v>233</v>
      </c>
      <c r="P27" s="68" t="s">
        <v>234</v>
      </c>
      <c r="R27" s="68" t="s">
        <v>235</v>
      </c>
      <c r="S27" s="68" t="s">
        <v>236</v>
      </c>
      <c r="T27" s="68" t="s">
        <v>237</v>
      </c>
      <c r="U27" s="68" t="s">
        <v>238</v>
      </c>
      <c r="V27" s="68" t="s">
        <v>239</v>
      </c>
      <c r="W27" s="68" t="s">
        <v>240</v>
      </c>
      <c r="X27" s="68" t="s">
        <v>241</v>
      </c>
      <c r="Y27" s="68" t="s">
        <v>242</v>
      </c>
      <c r="Z27" s="68" t="s">
        <v>243</v>
      </c>
      <c r="AA27" s="68" t="s">
        <v>244</v>
      </c>
      <c r="AB27" s="68" t="s">
        <v>245</v>
      </c>
      <c r="AC27" s="68" t="s">
        <v>246</v>
      </c>
      <c r="AD27" s="68" t="s">
        <v>247</v>
      </c>
      <c r="AE27" s="68" t="s">
        <v>248</v>
      </c>
      <c r="AF27" s="68" t="s">
        <v>247</v>
      </c>
      <c r="AG27" s="68" t="s">
        <v>96</v>
      </c>
      <c r="AH27" s="68" t="s">
        <v>249</v>
      </c>
      <c r="AI27" s="68" t="s">
        <v>95</v>
      </c>
      <c r="AJ27" s="68" t="s">
        <v>97</v>
      </c>
      <c r="AK27" s="68" t="s">
        <v>250</v>
      </c>
      <c r="AL27" s="68" t="s">
        <v>251</v>
      </c>
      <c r="AM27" s="68" t="s">
        <v>252</v>
      </c>
      <c r="AN27" s="68" t="s">
        <v>253</v>
      </c>
      <c r="AO27" s="68" t="s">
        <v>254</v>
      </c>
      <c r="AP27" s="68" t="s">
        <v>255</v>
      </c>
    </row>
    <row r="28" spans="1:42">
      <c r="B28" s="68" t="s">
        <v>145</v>
      </c>
      <c r="C28" s="68" t="s">
        <v>49</v>
      </c>
      <c r="E28" s="68" t="s">
        <v>133</v>
      </c>
      <c r="K28" s="68" t="s">
        <v>256</v>
      </c>
      <c r="L28" s="68" t="s">
        <v>257</v>
      </c>
      <c r="O28" s="68" t="s">
        <v>258</v>
      </c>
      <c r="R28" s="68" t="s">
        <v>259</v>
      </c>
      <c r="S28" s="68" t="s">
        <v>260</v>
      </c>
      <c r="T28" s="68" t="s">
        <v>262</v>
      </c>
      <c r="V28" s="68" t="s">
        <v>261</v>
      </c>
      <c r="Y28" s="68" t="s">
        <v>262</v>
      </c>
      <c r="Z28" s="68" t="s">
        <v>263</v>
      </c>
      <c r="AA28" s="68" t="s">
        <v>264</v>
      </c>
      <c r="AB28" s="68" t="s">
        <v>265</v>
      </c>
      <c r="AC28" s="68" t="s">
        <v>266</v>
      </c>
      <c r="AD28" s="68" t="s">
        <v>267</v>
      </c>
      <c r="AE28" s="68" t="s">
        <v>291</v>
      </c>
      <c r="AF28" s="68" t="s">
        <v>268</v>
      </c>
      <c r="AG28" s="68" t="s">
        <v>292</v>
      </c>
      <c r="AH28" s="68" t="s">
        <v>293</v>
      </c>
    </row>
    <row r="29" spans="1:42">
      <c r="B29" s="68" t="s">
        <v>146</v>
      </c>
      <c r="C29" s="68" t="s">
        <v>50</v>
      </c>
      <c r="E29" s="68" t="s">
        <v>135</v>
      </c>
      <c r="K29" s="68" t="s">
        <v>269</v>
      </c>
      <c r="L29" s="68" t="s">
        <v>270</v>
      </c>
      <c r="O29" s="68" t="s">
        <v>271</v>
      </c>
      <c r="R29" s="68" t="s">
        <v>272</v>
      </c>
      <c r="S29" s="68" t="s">
        <v>273</v>
      </c>
      <c r="T29" s="68" t="s">
        <v>275</v>
      </c>
      <c r="V29" s="68" t="s">
        <v>274</v>
      </c>
      <c r="Y29" s="68" t="s">
        <v>275</v>
      </c>
      <c r="Z29" s="68" t="s">
        <v>276</v>
      </c>
      <c r="AA29" s="68" t="s">
        <v>277</v>
      </c>
      <c r="AB29" s="68" t="s">
        <v>278</v>
      </c>
      <c r="AC29" s="68" t="s">
        <v>279</v>
      </c>
      <c r="AD29" s="68" t="s">
        <v>280</v>
      </c>
      <c r="AE29" s="68" t="s">
        <v>294</v>
      </c>
      <c r="AF29" s="68" t="s">
        <v>281</v>
      </c>
      <c r="AG29" s="68" t="s">
        <v>295</v>
      </c>
      <c r="AH29" s="68" t="s">
        <v>296</v>
      </c>
    </row>
    <row r="31" spans="1:42">
      <c r="AC31" s="68" t="s">
        <v>297</v>
      </c>
      <c r="AD31" s="68" t="s">
        <v>298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45"/>
  <sheetViews>
    <sheetView tabSelected="1" topLeftCell="T19" zoomScale="85" zoomScaleNormal="85" workbookViewId="0">
      <selection activeCell="U46" sqref="U46"/>
    </sheetView>
  </sheetViews>
  <sheetFormatPr defaultColWidth="9.140625" defaultRowHeight="15"/>
  <cols>
    <col min="1" max="2" width="17.7109375" style="1" hidden="1" customWidth="1"/>
    <col min="3" max="3" width="15.7109375" style="4" hidden="1" customWidth="1"/>
    <col min="4" max="4" width="20.85546875" style="4" hidden="1" customWidth="1"/>
    <col min="5" max="5" width="23.140625" style="4" hidden="1" customWidth="1"/>
    <col min="6" max="6" width="16.140625" style="4" hidden="1" customWidth="1"/>
    <col min="7" max="7" width="12.7109375" style="4" hidden="1" customWidth="1"/>
    <col min="8" max="8" width="9.140625" style="4" hidden="1" customWidth="1"/>
    <col min="9" max="9" width="20" style="8" hidden="1" customWidth="1"/>
    <col min="10" max="10" width="9.140625" style="4" hidden="1" customWidth="1"/>
    <col min="11" max="11" width="8.140625" style="4" bestFit="1" customWidth="1"/>
    <col min="12" max="12" width="6.28515625" style="22" bestFit="1" customWidth="1"/>
    <col min="13" max="14" width="10.7109375" style="22" customWidth="1"/>
    <col min="15" max="15" width="17.28515625" style="18" bestFit="1" customWidth="1"/>
    <col min="16" max="16" width="9.7109375" style="18" bestFit="1" customWidth="1"/>
    <col min="17" max="17" width="9" style="18" customWidth="1"/>
    <col min="18" max="18" width="11.85546875" style="4" bestFit="1" customWidth="1"/>
    <col min="19" max="19" width="28.5703125" style="4" bestFit="1" customWidth="1"/>
    <col min="20" max="20" width="15.140625" style="4" bestFit="1" customWidth="1"/>
    <col min="21" max="21" width="22" style="4" customWidth="1"/>
    <col min="22" max="22" width="10.85546875" style="47" bestFit="1" customWidth="1"/>
    <col min="23" max="23" width="14.28515625" style="8" customWidth="1"/>
    <col min="24" max="24" width="25.140625" style="8" customWidth="1"/>
    <col min="25" max="25" width="5.140625" style="4" hidden="1" customWidth="1"/>
    <col min="26" max="26" width="4.42578125" style="4" hidden="1" customWidth="1"/>
    <col min="27" max="27" width="23.140625" style="4" bestFit="1" customWidth="1"/>
    <col min="28" max="28" width="10.5703125" style="20" bestFit="1" customWidth="1"/>
    <col min="29" max="29" width="7.5703125" style="4" bestFit="1" customWidth="1"/>
    <col min="30" max="30" width="28.28515625" style="4" customWidth="1"/>
    <col min="31" max="31" width="11.28515625" style="37" hidden="1" customWidth="1"/>
    <col min="32" max="32" width="14.85546875" style="37" customWidth="1"/>
    <col min="33" max="33" width="22.85546875" style="4" customWidth="1"/>
    <col min="34" max="34" width="37.140625" style="4" customWidth="1"/>
    <col min="35" max="35" width="21.140625" style="4" customWidth="1"/>
    <col min="36" max="36" width="15.28515625" style="4" customWidth="1"/>
    <col min="37" max="37" width="29.42578125" style="4" customWidth="1"/>
    <col min="38" max="38" width="23.7109375" style="4" customWidth="1"/>
    <col min="39" max="16384" width="9.140625" style="4"/>
  </cols>
  <sheetData>
    <row r="1" spans="1:32" s="1" customFormat="1" hidden="1">
      <c r="A1" s="1" t="s">
        <v>287</v>
      </c>
      <c r="B1" s="1" t="s">
        <v>46</v>
      </c>
      <c r="C1" s="1" t="s">
        <v>7</v>
      </c>
      <c r="D1" s="1" t="s">
        <v>7</v>
      </c>
      <c r="E1" s="1" t="s">
        <v>7</v>
      </c>
      <c r="F1" s="1" t="s">
        <v>7</v>
      </c>
      <c r="G1" s="1" t="s">
        <v>7</v>
      </c>
      <c r="H1" s="1" t="s">
        <v>7</v>
      </c>
      <c r="I1" s="14" t="s">
        <v>7</v>
      </c>
      <c r="J1" s="1" t="s">
        <v>53</v>
      </c>
      <c r="K1" s="1" t="s">
        <v>18</v>
      </c>
      <c r="L1" s="23" t="s">
        <v>18</v>
      </c>
      <c r="M1" s="23"/>
      <c r="N1" s="23"/>
      <c r="O1" s="17" t="s">
        <v>18</v>
      </c>
      <c r="P1" s="17" t="s">
        <v>18</v>
      </c>
      <c r="Q1" s="17"/>
      <c r="R1" s="1" t="s">
        <v>18</v>
      </c>
      <c r="S1" s="1" t="s">
        <v>18</v>
      </c>
      <c r="T1" s="1" t="s">
        <v>18</v>
      </c>
      <c r="V1" s="46" t="s">
        <v>18</v>
      </c>
      <c r="W1" s="14" t="s">
        <v>18</v>
      </c>
      <c r="X1" s="14"/>
      <c r="Y1" s="1" t="s">
        <v>7</v>
      </c>
      <c r="Z1" s="1" t="s">
        <v>7</v>
      </c>
      <c r="AA1" s="1" t="s">
        <v>18</v>
      </c>
      <c r="AB1" s="1" t="s">
        <v>18</v>
      </c>
      <c r="AC1" s="1" t="s">
        <v>18</v>
      </c>
      <c r="AE1" s="36"/>
      <c r="AF1" s="36"/>
    </row>
    <row r="2" spans="1:32" hidden="1">
      <c r="A2" s="1" t="s">
        <v>7</v>
      </c>
      <c r="D2" s="4" t="s">
        <v>19</v>
      </c>
      <c r="E2" s="4" t="str">
        <f>Option!$C$2</f>
        <v>UICACS</v>
      </c>
    </row>
    <row r="3" spans="1:32" hidden="1">
      <c r="A3" s="1" t="s">
        <v>7</v>
      </c>
      <c r="D3" s="7" t="s">
        <v>22</v>
      </c>
      <c r="E3" s="7" t="s">
        <v>20</v>
      </c>
      <c r="F3" s="7" t="s">
        <v>21</v>
      </c>
      <c r="G3" s="7" t="s">
        <v>23</v>
      </c>
      <c r="H3" s="7" t="s">
        <v>47</v>
      </c>
      <c r="I3" s="15" t="s">
        <v>24</v>
      </c>
    </row>
    <row r="4" spans="1:32" ht="15" hidden="1" customHeight="1">
      <c r="A4" s="1" t="s">
        <v>7</v>
      </c>
      <c r="C4" s="4" t="s">
        <v>11</v>
      </c>
      <c r="D4" s="8" t="str">
        <f>".AF_CV_XL_INVOICE where (CARDCODE IN (" &amp; $E$16 &amp; ")) AND (U_ENR IN ("&amp; $E$13 &amp;")  OR U_MSENR IN (" &amp; $E$14 &amp;")) AND U_PRODTYPE =" &amp; $E$15 &amp; " AND %Filter1% AND %Filter2%   "</f>
        <v xml:space="preserve">.AF_CV_XL_INVOICE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'CG0164-SGD','CY0036-SGD','CI1244-SGD','CI1252-SGD','CI1278-SGD','CI1305-SGD','CN0025-SGD','CN0026-SGD','CN0170-SGD','CN0210-SGD','CI1296-SGD','CA0216-SGD','CT0122-SGD''CW0080-SGD','CY0036-SGD','CW0080-SGD','CS0167-SGD','CS0200-SGD','CG0164-SGD')) AND (U_ENR IN ('S7138270','7138270' ,'s7138270')  OR U_MSENR IN ('S7138270','7138270' ,'s7138270')) AND U_PRODTYPE ='MS' AND %Filter1% AND %Filter2%   </v>
      </c>
      <c r="E4" s="8" t="str">
        <f>"SQL="&amp;$F$4&amp;$E$2&amp;$D$4&amp;$H$4</f>
        <v>SQL=SELECT DOCNUM, CUSTREF, U_CUSTREF, DOCDATE,TAXDATE, CARDCODE,CARDNAME,ITEMCODE,ITEMNAME,QUANTITY,U_TLINTCOS,SLPNAME,SLPCODE,MEMO,CONTACTNAME, LINETOTAL ,U_ENR, U_MSENR,U_MSPCN,U_SONO,U_PONO,U_PODATE, ADDRESS2 FROM   UICACS.AF_CV_XL_INVOICE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'CG0164-SGD','CY0036-SGD','CI1244-SGD','CI1252-SGD','CI1278-SGD','CI1305-SGD','CN0025-SGD','CN0026-SGD','CN0170-SGD','CN0210-SGD','CI1296-SGD','CA0216-SGD','CT0122-SGD''CW0080-SGD','CY0036-SGD','CW0080-SGD','CS0167-SGD','CS0200-SGD','CG0164-SGD')) AND (U_ENR IN ('S7138270','7138270' ,'s7138270')  OR U_MSENR IN ('S7138270','7138270' ,'s7138270')) AND U_PRODTYPE ='MS' AND %Filter1% AND %Filter2%    ORDER BY DOCNUM, DOCDATE</v>
      </c>
      <c r="F4" s="8" t="s">
        <v>51</v>
      </c>
      <c r="G4" s="4" t="s">
        <v>25</v>
      </c>
      <c r="H4" s="4" t="str">
        <f>" ORDER BY DOCNUM, DOCDATE"</f>
        <v xml:space="preserve"> ORDER BY DOCNUM, DOCDATE</v>
      </c>
    </row>
    <row r="5" spans="1:32" ht="15" hidden="1" customHeight="1">
      <c r="A5" s="1" t="s">
        <v>7</v>
      </c>
      <c r="C5" s="4" t="s">
        <v>10</v>
      </c>
      <c r="D5" s="8" t="str">
        <f>".AF_CV_XL_DELIVERY where (CARDCODE IN (" &amp; $E$16 &amp; ")) AND U_ENR IN ("&amp; $E$13 &amp;")  AND U_PRODTYPE =" &amp; $E$15 &amp; " AND %Filter1% AND %Filter2%   "</f>
        <v xml:space="preserve">.AF_CV_XL_DELIVERY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'CG0164-SGD','CY0036-SGD','CI1244-SGD','CI1252-SGD','CI1278-SGD','CI1305-SGD','CN0025-SGD','CN0026-SGD','CN0170-SGD','CN0210-SGD','CI1296-SGD','CA0216-SGD','CT0122-SGD''CW0080-SGD','CY0036-SGD','CW0080-SGD','CS0167-SGD','CS0200-SGD','CG0164-SGD')) AND U_ENR IN ('S7138270','7138270' ,'s7138270')  AND U_PRODTYPE ='MS' AND %Filter1% AND %Filter2%   </v>
      </c>
      <c r="E5" s="8" t="str">
        <f>"SQL="&amp;$F$5&amp;$E$2&amp;$D$5 &amp;$G$5 &amp;$F$5&amp;$E$2&amp;$I$5&amp;H5</f>
        <v>SQL=SELECT DOCNUM, CUSTREF, U_CUSTREF, DOCDATE,TAXDATE, CARDCODE,CARDNAME,ITEMCODE,ITEMNAME,QUANTITY,U_TLINTCOS,SLPNAME,SLPCODE,MEMO,CONTACTNAME, LINETOTAL ,U_ENR, U_MSENR,U_MSPCN,U_SONO,U_PONO,U_PODATE, ADDRESS2  FROM   UICACS.AF_CV_XL_DELIVERY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'CG0164-SGD','CY0036-SGD','CI1244-SGD','CI1252-SGD','CI1278-SGD','CI1305-SGD','CN0025-SGD','CN0026-SGD','CN0170-SGD','CN0210-SGD','CI1296-SGD','CA0216-SGD','CT0122-SGD''CW0080-SGD','CY0036-SGD','CW0080-SGD','CS0167-SGD','CS0200-SGD','CG0164-SGD')) AND U_ENR IN ('S7138270','7138270' ,'s7138270')  AND U_PRODTYPE ='MS' AND %Filter1% AND %Filter2%   UNION ALL SELECT DOCNUM, CUSTREF, U_CUSTREF, DOCDATE,TAXDATE, CARDCODE,CARDNAME,ITEMCODE,ITEMNAME,QUANTITY,U_TLINTCOS,SLPNAME,SLPCODE,MEMO,CONTACTNAME, LINETOTAL ,U_ENR, U_MSENR,U_MSPCN,U_SONO,U_PONO,U_PODATE, ADDRESS2  FROM   UICACS.AF_CV_XL_RETURN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'CG0164-SGD','CY0036-SGD','CI1244-SGD','CI1252-SGD','CI1278-SGD','CI1305-SGD','CN0025-SGD','CN0026-SGD','CN0170-SGD','CN0210-SGD','CI1296-SGD','CA0216-SGD','CT0122-SGD''CW0080-SGD','CY0036-SGD','CW0080-SGD','CS0167-SGD','CS0200-SGD','CG0164-SGD')) AND U_ENR IN ('S7138270','7138270' ,'s7138270')  AND U_PRODTYPE ='MS' AND %Filter1% AND %Filter2%    ORDER BY DOCNUM, DOCDATE</v>
      </c>
      <c r="F5" s="8" t="s">
        <v>52</v>
      </c>
      <c r="G5" s="4" t="s">
        <v>25</v>
      </c>
      <c r="H5" s="4" t="str">
        <f>" ORDER BY DOCNUM, DOCDATE"</f>
        <v xml:space="preserve"> ORDER BY DOCNUM, DOCDATE</v>
      </c>
      <c r="I5" s="8" t="str">
        <f>".AF_CV_XL_RETURN where (CARDCODE IN (" &amp; $E$16 &amp; ")) AND U_ENR IN ("&amp; $E$13 &amp;")  AND U_PRODTYPE =" &amp; $E$15 &amp; " AND %Filter1% AND %Filter2%   "</f>
        <v xml:space="preserve">.AF_CV_XL_RETURN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'CG0164-SGD','CY0036-SGD','CI1244-SGD','CI1252-SGD','CI1278-SGD','CI1305-SGD','CN0025-SGD','CN0026-SGD','CN0170-SGD','CN0210-SGD','CI1296-SGD','CA0216-SGD','CT0122-SGD''CW0080-SGD','CY0036-SGD','CW0080-SGD','CS0167-SGD','CS0200-SGD','CG0164-SGD')) AND U_ENR IN ('S7138270','7138270' ,'s7138270')  AND U_PRODTYPE ='MS' AND %Filter1% AND %Filter2%   </v>
      </c>
    </row>
    <row r="6" spans="1:32" ht="15.75" hidden="1" customHeight="1">
      <c r="A6" s="1" t="s">
        <v>7</v>
      </c>
      <c r="C6" s="4" t="s">
        <v>41</v>
      </c>
      <c r="D6" s="8" t="str">
        <f>".AF_CV_XL_DELIVERY where (CARDCODE IN (" &amp; $E$16 &amp; ")) AND U_MSENR IN (" &amp; $E$14 &amp;") AND U_PRODTYPE =" &amp; $E$15 &amp; " AND %Filter1% AND %Filter2%   "</f>
        <v xml:space="preserve">.AF_CV_XL_DELIVERY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'CG0164-SGD','CY0036-SGD','CI1244-SGD','CI1252-SGD','CI1278-SGD','CI1305-SGD','CN0025-SGD','CN0026-SGD','CN0170-SGD','CN0210-SGD','CI1296-SGD','CA0216-SGD','CT0122-SGD''CW0080-SGD','CY0036-SGD','CW0080-SGD','CS0167-SGD','CS0200-SGD','CG0164-SGD')) AND U_MSENR IN ('S7138270','7138270' ,'s7138270') AND U_PRODTYPE ='MS' AND %Filter1% AND %Filter2%   </v>
      </c>
      <c r="E6" s="8" t="str">
        <f>"SQL="&amp;$F$6&amp;$E$2&amp;$D$6 &amp;$G$6 &amp;$F$6&amp;$E$2&amp;$I$6&amp;H6</f>
        <v>SQL=SELECT DOCNUM, CUSTREF, U_CUSTREF, DOCDATE,TAXDATE, CARDCODE,CARDNAME,ITEMCODE,ITEMNAME,QUANTITY,U_TLINTCOS,SLPNAME,SLPCODE,MEMO,CONTACTNAME, LINETOTAL ,U_ENR, U_MSENR,U_MSPCN,U_SONO,U_PONO,U_PODATE, ADDRESS2  FROM   UICACS.AF_CV_XL_DELIVERY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'CG0164-SGD','CY0036-SGD','CI1244-SGD','CI1252-SGD','CI1278-SGD','CI1305-SGD','CN0025-SGD','CN0026-SGD','CN0170-SGD','CN0210-SGD','CI1296-SGD','CA0216-SGD','CT0122-SGD''CW0080-SGD','CY0036-SGD','CW0080-SGD','CS0167-SGD','CS0200-SGD','CG0164-SGD')) AND U_MSENR IN ('S7138270','7138270' ,'s7138270') AND U_PRODTYPE ='MS' AND %Filter1% AND %Filter2%   UNION ALL SELECT DOCNUM, CUSTREF, U_CUSTREF, DOCDATE,TAXDATE, CARDCODE,CARDNAME,ITEMCODE,ITEMNAME,QUANTITY,U_TLINTCOS,SLPNAME,SLPCODE,MEMO,CONTACTNAME, LINETOTAL ,U_ENR, U_MSENR,U_MSPCN,U_SONO,U_PONO,U_PODATE, ADDRESS2  FROM   UICACS.AF_CV_XL_RETURN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'CG0164-SGD','CY0036-SGD','CI1244-SGD','CI1252-SGD','CI1278-SGD','CI1305-SGD','CN0025-SGD','CN0026-SGD','CN0170-SGD','CN0210-SGD','CI1296-SGD','CA0216-SGD','CT0122-SGD''CW0080-SGD','CY0036-SGD','CW0080-SGD','CS0167-SGD','CS0200-SGD','CG0164-SGD')) AND U_MSENR IN ('S7138270','7138270' ,'s7138270') AND U_PRODTYPE ='MS' AND %Filter1% AND %Filter2%    ORDER BY DOCNUM, DOCDATE</v>
      </c>
      <c r="F6" s="8" t="s">
        <v>52</v>
      </c>
      <c r="G6" s="4" t="s">
        <v>25</v>
      </c>
      <c r="H6" s="4" t="str">
        <f>" ORDER BY DOCNUM, DOCDATE"</f>
        <v xml:space="preserve"> ORDER BY DOCNUM, DOCDATE</v>
      </c>
      <c r="I6" s="8" t="str">
        <f>".AF_CV_XL_RETURN where (CARDCODE IN (" &amp; $E$16 &amp; ")) AND U_MSENR IN (" &amp; $E$14 &amp;") AND U_PRODTYPE =" &amp; $E$15 &amp; " AND %Filter1% AND %Filter2%   "</f>
        <v xml:space="preserve">.AF_CV_XL_RETURN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'CG0164-SGD','CY0036-SGD','CI1244-SGD','CI1252-SGD','CI1278-SGD','CI1305-SGD','CN0025-SGD','CN0026-SGD','CN0170-SGD','CN0210-SGD','CI1296-SGD','CA0216-SGD','CT0122-SGD''CW0080-SGD','CY0036-SGD','CW0080-SGD','CS0167-SGD','CS0200-SGD','CG0164-SGD')) AND U_MSENR IN ('S7138270','7138270' ,'s7138270') AND U_PRODTYPE ='MS' AND %Filter1% AND %Filter2%   </v>
      </c>
    </row>
    <row r="7" spans="1:32" hidden="1">
      <c r="A7" s="1" t="s">
        <v>7</v>
      </c>
    </row>
    <row r="8" spans="1:32" hidden="1">
      <c r="A8" s="1" t="s">
        <v>7</v>
      </c>
      <c r="K8" s="9"/>
    </row>
    <row r="9" spans="1:32" hidden="1">
      <c r="A9" s="1" t="s">
        <v>7</v>
      </c>
      <c r="K9" s="9"/>
    </row>
    <row r="10" spans="1:32" hidden="1">
      <c r="A10" s="1" t="s">
        <v>7</v>
      </c>
    </row>
    <row r="11" spans="1:32" hidden="1">
      <c r="A11" s="1" t="s">
        <v>7</v>
      </c>
      <c r="C11" s="4" t="s">
        <v>27</v>
      </c>
      <c r="E11" s="4" t="str">
        <f>Option!$C$9</f>
        <v>20251201..20251231</v>
      </c>
      <c r="K11" s="9"/>
    </row>
    <row r="12" spans="1:32" hidden="1">
      <c r="A12" s="1" t="s">
        <v>7</v>
      </c>
      <c r="C12" s="4" t="s">
        <v>28</v>
      </c>
      <c r="E12" s="4" t="str">
        <f>Option!$C$5</f>
        <v>*</v>
      </c>
      <c r="K12" s="9"/>
    </row>
    <row r="13" spans="1:32" hidden="1">
      <c r="A13" s="1" t="s">
        <v>7</v>
      </c>
      <c r="C13" s="4" t="s">
        <v>42</v>
      </c>
      <c r="E13" s="4" t="str">
        <f>Option!$C$10</f>
        <v>'S7138270','7138270' ,'s7138270'</v>
      </c>
      <c r="K13" s="9"/>
    </row>
    <row r="14" spans="1:32" hidden="1">
      <c r="A14" s="1" t="s">
        <v>7</v>
      </c>
      <c r="C14" s="4" t="s">
        <v>39</v>
      </c>
      <c r="E14" s="4" t="str">
        <f>Option!$C$11</f>
        <v>'S7138270','7138270' ,'s7138270'</v>
      </c>
      <c r="K14" s="9"/>
    </row>
    <row r="15" spans="1:32" hidden="1">
      <c r="A15" s="1" t="s">
        <v>7</v>
      </c>
      <c r="C15" s="4" t="s">
        <v>43</v>
      </c>
      <c r="E15" s="4" t="str">
        <f>Option!$C$12</f>
        <v>'MS'</v>
      </c>
      <c r="AC15" s="16"/>
    </row>
    <row r="16" spans="1:32" hidden="1">
      <c r="A16" s="1" t="s">
        <v>7</v>
      </c>
      <c r="C16" s="4" t="s">
        <v>44</v>
      </c>
      <c r="E16" s="4" t="str">
        <f>Option!$C$13</f>
        <v>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</v>
      </c>
    </row>
    <row r="17" spans="1:41" hidden="1">
      <c r="A17" s="1" t="s">
        <v>7</v>
      </c>
    </row>
    <row r="18" spans="1:41" s="24" customFormat="1" hidden="1">
      <c r="A18" s="24" t="s">
        <v>7</v>
      </c>
      <c r="I18" s="25"/>
      <c r="L18" s="26"/>
      <c r="M18" s="26"/>
      <c r="N18" s="26"/>
      <c r="O18" s="27"/>
      <c r="P18" s="27"/>
      <c r="Q18" s="27"/>
      <c r="V18" s="48"/>
      <c r="W18" s="25"/>
      <c r="X18" s="25"/>
      <c r="AB18" s="28"/>
      <c r="AE18" s="38"/>
      <c r="AF18" s="38"/>
    </row>
    <row r="20" spans="1:41" ht="15.75"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49"/>
      <c r="W20" s="50"/>
      <c r="X20" s="50"/>
      <c r="Y20" s="21"/>
      <c r="Z20" s="21"/>
      <c r="AA20" s="21"/>
      <c r="AB20" s="21"/>
      <c r="AC20" s="21"/>
      <c r="AD20" s="21"/>
    </row>
    <row r="21" spans="1:41" s="42" customFormat="1" ht="18.75">
      <c r="A21" s="41"/>
      <c r="B21" s="41"/>
      <c r="I21" s="43"/>
      <c r="K21" s="69" t="s">
        <v>76</v>
      </c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44"/>
      <c r="AF21" s="44"/>
    </row>
    <row r="22" spans="1:41" ht="15.75"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49"/>
      <c r="W22" s="50"/>
      <c r="X22" s="50"/>
      <c r="Y22" s="21"/>
      <c r="Z22" s="21"/>
      <c r="AA22" s="21"/>
      <c r="AB22" s="21"/>
      <c r="AC22" s="21"/>
      <c r="AD22" s="21"/>
    </row>
    <row r="23" spans="1:41" s="56" customFormat="1" ht="63">
      <c r="A23" s="57"/>
      <c r="B23" s="57"/>
      <c r="E23" s="58" t="s">
        <v>29</v>
      </c>
      <c r="I23" s="59"/>
      <c r="K23" s="55" t="s">
        <v>78</v>
      </c>
      <c r="L23" s="55" t="s">
        <v>79</v>
      </c>
      <c r="M23" s="55" t="s">
        <v>14</v>
      </c>
      <c r="N23" s="55" t="s">
        <v>16</v>
      </c>
      <c r="O23" s="60" t="s">
        <v>30</v>
      </c>
      <c r="P23" s="55" t="s">
        <v>98</v>
      </c>
      <c r="Q23" s="61" t="s">
        <v>80</v>
      </c>
      <c r="R23" s="55" t="s">
        <v>31</v>
      </c>
      <c r="S23" s="61" t="s">
        <v>38</v>
      </c>
      <c r="T23" s="61" t="s">
        <v>34</v>
      </c>
      <c r="U23" s="62" t="s">
        <v>301</v>
      </c>
      <c r="V23" s="62" t="s">
        <v>17</v>
      </c>
      <c r="W23" s="54" t="s">
        <v>81</v>
      </c>
      <c r="X23" s="54" t="s">
        <v>82</v>
      </c>
      <c r="Y23" s="63" t="s">
        <v>36</v>
      </c>
      <c r="Z23" s="63" t="s">
        <v>12</v>
      </c>
      <c r="AA23" s="61" t="s">
        <v>32</v>
      </c>
      <c r="AB23" s="61" t="s">
        <v>13</v>
      </c>
      <c r="AC23" s="53" t="s">
        <v>85</v>
      </c>
      <c r="AD23" s="53" t="s">
        <v>86</v>
      </c>
      <c r="AE23" s="54" t="s">
        <v>87</v>
      </c>
      <c r="AF23" s="54" t="s">
        <v>88</v>
      </c>
      <c r="AG23" s="54" t="s">
        <v>89</v>
      </c>
      <c r="AH23" s="54" t="s">
        <v>90</v>
      </c>
      <c r="AI23" s="54" t="s">
        <v>91</v>
      </c>
      <c r="AJ23" s="54" t="s">
        <v>92</v>
      </c>
      <c r="AK23" s="55" t="s">
        <v>93</v>
      </c>
      <c r="AL23" s="55" t="s">
        <v>94</v>
      </c>
    </row>
    <row r="24" spans="1:41">
      <c r="A24" s="1" t="s">
        <v>137</v>
      </c>
      <c r="B24" s="1" t="str">
        <f t="shared" ref="B24:B26" si="0">IF(K24="","Hide","Show")</f>
        <v>Show</v>
      </c>
      <c r="C24" s="4" t="s">
        <v>48</v>
      </c>
      <c r="E24" s="13" t="str">
        <f>"""UICACS"","""",""SQL="",""2=DOCNUM"",""33041082"",""14=CUSTREF"",""2025101968"",""14=U_CUSTREF"",""2025101968"",""15=DOCDATE"",""10/12/2025"",""15=TAXDATE"",""10/12/2025"",""14=CARDCODE"",""CS0167-SGD"",""14=CARDNAME"",""ST LUKE'S HOSPITAL"",""14=ITEMCODE"",""MSEP2-27380GLP"",""14=ITEMNAME"","""&amp;"MS OFFICE STANDARD 2024 SLNG LTSC"",""10=QUANTITY"",""1.000000"",""14=U_PONO"","""",""15=U_PODATE"","""",""10=U_TLINTCOS"",""0.000000"",""2=SLPCODE"",""101"",""14=SLPNAME"",""E0001-MM"",""14=MEMO"",""MELIZA MARQUEZ"",""14=CONTACTNAME"",""JULIETTE LIM"",""10=LINETOTAL"",""427.690000"",""14=U_E"&amp;"NR"","""",""14=U_MSENR"",""S7138270"",""14=U_MSPCN"",""B816AA67"",""14=ADDRESS2"",""KELVIN PHAY / JULIETTE LIM_x000D_ST LUKE's HOSPITAL 2 BUKIT BATOK STREET 11  SINGAPORE 659674_x000D_MR KELVIN PHAY / MS JULIETTE LIM_x000D_TEL: 6895 3207/6895 3430_x000D_FAX: _x000D_EMAIL: kelvinphay@stluke.org.sg/j"&amp;"uliettelim@stluke.org.sg"""</f>
        <v>"UICACS","","SQL=","2=DOCNUM","33041082","14=CUSTREF","2025101968","14=U_CUSTREF","2025101968","15=DOCDATE","10/12/2025","15=TAXDATE","10/12/2025","14=CARDCODE","CS0167-SGD","14=CARDNAME","ST LUKE'S HOSPITAL","14=ITEMCODE","MSEP2-27380GLP","14=ITEMNAME","MS OFFICE STANDARD 2024 SLNG LTSC","10=QUANTITY","1.000000","14=U_PONO","","15=U_PODATE","","10=U_TLINTCOS","0.000000","2=SLPCODE","101","14=SLPNAME","E0001-MM","14=MEMO","MELIZA MARQUEZ","14=CONTACTNAME","JULIETTE LIM","10=LINETOTAL","427.690000","14=U_ENR","","14=U_MSENR","S7138270","14=U_MSPCN","B816AA67","14=ADDRESS2","KELVIN PHAY / JULIETTE LIM_x000D_ST LUKE's HOSPITAL 2 BUKIT BATOK STREET 11  SINGAPORE 659674_x000D_MR KELVIN PHAY / MS JULIETTE LIM_x000D_TEL: 6895 3207/6895 3430_x000D_FAX: _x000D_EMAIL: kelvinphay@stluke.org.sg/juliettelim@stluke.org.sg"</v>
      </c>
      <c r="K24" s="22">
        <f>MONTH(N24)</f>
        <v>12</v>
      </c>
      <c r="L24" s="22">
        <f>YEAR(N24)</f>
        <v>2025</v>
      </c>
      <c r="M24" s="4">
        <v>33041082</v>
      </c>
      <c r="N24" s="40">
        <v>46001</v>
      </c>
      <c r="O24" s="22" t="str">
        <f>"S7138270"</f>
        <v>S7138270</v>
      </c>
      <c r="P24" s="22" t="str">
        <f>"B816AA67"</f>
        <v>B816AA67</v>
      </c>
      <c r="Q24" s="22"/>
      <c r="R24" s="22" t="str">
        <f>"CS0167-SGD"</f>
        <v>CS0167-SGD</v>
      </c>
      <c r="S24" s="4" t="str">
        <f>"ST LUKE'S HOSPITAL"</f>
        <v>ST LUKE'S HOSPITAL</v>
      </c>
      <c r="T24" s="22" t="str">
        <f>"2025101968"</f>
        <v>2025101968</v>
      </c>
      <c r="U24" s="47" t="str">
        <f>"961286"</f>
        <v>961286</v>
      </c>
      <c r="V24" s="47">
        <v>45999</v>
      </c>
      <c r="W24" s="47">
        <v>46001</v>
      </c>
      <c r="X24" s="65">
        <f>SUM(N24-V24)</f>
        <v>2</v>
      </c>
      <c r="Y24" s="52" t="str">
        <f>"MSEP2-27380GLP"</f>
        <v>MSEP2-27380GLP</v>
      </c>
      <c r="Z24" s="52" t="str">
        <f>"MS OFFICE STANDARD 2024 SLNG LTSC"</f>
        <v>MS OFFICE STANDARD 2024 SLNG LTSC</v>
      </c>
      <c r="AA24" s="52" t="str">
        <f>"MELIZA MARQUEZ"</f>
        <v>MELIZA MARQUEZ</v>
      </c>
      <c r="AB24" s="65">
        <v>1</v>
      </c>
      <c r="AC24" s="40" t="s">
        <v>96</v>
      </c>
      <c r="AD24" s="66" t="str">
        <f>"KELVIN PHAY / JULIETTE LIM_x000D_ST LUKE's HOSPITAL 2 BUKIT BATOK STREET 11  SINGAPORE 659674_x000D_MR KELVIN PHAY / MS JULIETTE LIM_x000D_TEL: 6895 3207/6895 3430_x000D_FAX: _x000D_EMAIL: kelvinphay@stluke.org.sg/juliettelim@stluke.org.sg"</f>
        <v>KELVIN PHAY / JULIETTE LIM_x000D_ST LUKE's HOSPITAL 2 BUKIT BATOK STREET 11  SINGAPORE 659674_x000D_MR KELVIN PHAY / MS JULIETTE LIM_x000D_TEL: 6895 3207/6895 3430_x000D_FAX: _x000D_EMAIL: kelvinphay@stluke.org.sg/juliettelim@stluke.org.sg</v>
      </c>
      <c r="AE24" s="64" t="s">
        <v>95</v>
      </c>
      <c r="AF24" s="64" t="s">
        <v>97</v>
      </c>
      <c r="AG24" s="3" t="str">
        <f>"MSEP2-27380GLP"</f>
        <v>MSEP2-27380GLP</v>
      </c>
      <c r="AH24" s="3" t="str">
        <f>"MS OFFICE STANDARD 2024 SLNG LTSC"</f>
        <v>MS OFFICE STANDARD 2024 SLNG LTSC</v>
      </c>
      <c r="AI24" s="22" t="s">
        <v>300</v>
      </c>
      <c r="AJ24" s="22" t="str">
        <f t="shared" ref="AJ24:AK26" si="1">"-"</f>
        <v>-</v>
      </c>
      <c r="AK24" s="22" t="str">
        <f t="shared" si="1"/>
        <v>-</v>
      </c>
      <c r="AL24" s="22"/>
    </row>
    <row r="25" spans="1:41">
      <c r="A25" s="1" t="s">
        <v>137</v>
      </c>
      <c r="B25" s="1" t="str">
        <f t="shared" si="0"/>
        <v>Show</v>
      </c>
      <c r="C25" s="4" t="s">
        <v>48</v>
      </c>
      <c r="E25" s="13" t="str">
        <f>"""UICACS"","""",""SQL="",""2=DOCNUM"",""33041154"",""14=CUSTREF"",""2025102001"",""14=U_CUSTREF"",""2025102001"",""15=DOCDATE"",""17/12/2025"",""15=TAXDATE"",""17/12/2025"",""14=CARDCODE"",""CS0167-SGD"",""14=CARDNAME"",""ST LUKE'S HOSPITAL"",""14=ITEMCODE"",""MSEP2-27380GLP"",""14=ITEMNAME"","""&amp;"MS OFFICE STANDARD 2024 SLNG LTSC"",""10=QUANTITY"",""23.000000"",""14=U_PONO"","""",""15=U_PODATE"","""",""10=U_TLINTCOS"",""0.000000"",""2=SLPCODE"",""101"",""14=SLPNAME"",""E0001-MM"",""14=MEMO"",""MELIZA MARQUEZ"",""14=CONTACTNAME"",""JULIETTE LIM"",""10=LINETOTAL"",""9983.150000"",""14=U"&amp;"_ENR"","""",""14=U_MSENR"",""S7138270"",""14=U_MSPCN"",""B816AA67"",""14=ADDRESS2"",""ST LUKE'S HOSPITAL LTD (JULIETTE)_x000D_2 BUKIT BATOK STREET 11 LEVEL 3, IT DEPT  SINGAPORE 659674_x000D_MS JULIETTE LIM_x000D_TEL: 6895 3430_x000D_FAX: 6561 8205_x000D_EMAIL: juliettelim@stluke.org.sg"""</f>
        <v>"UICACS","","SQL=","2=DOCNUM","33041154","14=CUSTREF","2025102001","14=U_CUSTREF","2025102001","15=DOCDATE","17/12/2025","15=TAXDATE","17/12/2025","14=CARDCODE","CS0167-SGD","14=CARDNAME","ST LUKE'S HOSPITAL","14=ITEMCODE","MSEP2-27380GLP","14=ITEMNAME","MS OFFICE STANDARD 2024 SLNG LTSC","10=QUANTITY","23.000000","14=U_PONO","","15=U_PODATE","","10=U_TLINTCOS","0.000000","2=SLPCODE","101","14=SLPNAME","E0001-MM","14=MEMO","MELIZA MARQUEZ","14=CONTACTNAME","JULIETTE LIM","10=LINETOTAL","9983.150000","14=U_ENR","","14=U_MSENR","S7138270","14=U_MSPCN","B816AA67","14=ADDRESS2","ST LUKE'S HOSPITAL LTD (JULIETTE)_x000D_2 BUKIT BATOK STREET 11 LEVEL 3, IT DEPT  SINGAPORE 659674_x000D_MS JULIETTE LIM_x000D_TEL: 6895 3430_x000D_FAX: 6561 8205_x000D_EMAIL: juliettelim@stluke.org.sg"</v>
      </c>
      <c r="K25" s="22">
        <f>MONTH(N25)</f>
        <v>12</v>
      </c>
      <c r="L25" s="22">
        <f>YEAR(N25)</f>
        <v>2025</v>
      </c>
      <c r="M25" s="4">
        <v>33041154</v>
      </c>
      <c r="N25" s="40">
        <v>46008</v>
      </c>
      <c r="O25" s="22" t="str">
        <f>"S7138270"</f>
        <v>S7138270</v>
      </c>
      <c r="P25" s="22" t="str">
        <f>"B816AA67"</f>
        <v>B816AA67</v>
      </c>
      <c r="Q25" s="22"/>
      <c r="R25" s="22" t="str">
        <f>"CS0167-SGD"</f>
        <v>CS0167-SGD</v>
      </c>
      <c r="S25" s="4" t="str">
        <f>"ST LUKE'S HOSPITAL"</f>
        <v>ST LUKE'S HOSPITAL</v>
      </c>
      <c r="T25" s="22" t="str">
        <f>"2025102001"</f>
        <v>2025102001</v>
      </c>
      <c r="U25" s="47" t="str">
        <f>"961426"</f>
        <v>961426</v>
      </c>
      <c r="V25" s="47">
        <v>46007</v>
      </c>
      <c r="W25" s="47">
        <v>46008</v>
      </c>
      <c r="X25" s="65">
        <f>SUM(N25-V25)</f>
        <v>1</v>
      </c>
      <c r="Y25" s="52" t="str">
        <f>"MSEP2-27380GLP"</f>
        <v>MSEP2-27380GLP</v>
      </c>
      <c r="Z25" s="52" t="str">
        <f>"MS OFFICE STANDARD 2024 SLNG LTSC"</f>
        <v>MS OFFICE STANDARD 2024 SLNG LTSC</v>
      </c>
      <c r="AA25" s="52" t="str">
        <f>"MELIZA MARQUEZ"</f>
        <v>MELIZA MARQUEZ</v>
      </c>
      <c r="AB25" s="65">
        <v>23</v>
      </c>
      <c r="AC25" s="40" t="s">
        <v>96</v>
      </c>
      <c r="AD25" s="66" t="str">
        <f>"ST LUKE'S HOSPITAL LTD (JULIETTE)_x000D_2 BUKIT BATOK STREET 11 LEVEL 3, IT DEPT  SINGAPORE 659674_x000D_MS JULIETTE LIM_x000D_TEL: 6895 3430_x000D_FAX: 6561 8205_x000D_EMAIL: juliettelim@stluke.org.sg"</f>
        <v>ST LUKE'S HOSPITAL LTD (JULIETTE)_x000D_2 BUKIT BATOK STREET 11 LEVEL 3, IT DEPT  SINGAPORE 659674_x000D_MS JULIETTE LIM_x000D_TEL: 6895 3430_x000D_FAX: 6561 8205_x000D_EMAIL: juliettelim@stluke.org.sg</v>
      </c>
      <c r="AE25" s="64" t="s">
        <v>95</v>
      </c>
      <c r="AF25" s="64" t="s">
        <v>97</v>
      </c>
      <c r="AG25" s="3" t="str">
        <f>"MSEP2-27380GLP"</f>
        <v>MSEP2-27380GLP</v>
      </c>
      <c r="AH25" s="3" t="str">
        <f>"MS OFFICE STANDARD 2024 SLNG LTSC"</f>
        <v>MS OFFICE STANDARD 2024 SLNG LTSC</v>
      </c>
      <c r="AI25" s="22" t="s">
        <v>300</v>
      </c>
      <c r="AJ25" s="22" t="str">
        <f t="shared" si="1"/>
        <v>-</v>
      </c>
      <c r="AK25" s="22" t="str">
        <f t="shared" si="1"/>
        <v>-</v>
      </c>
      <c r="AL25" s="22"/>
    </row>
    <row r="26" spans="1:41">
      <c r="A26" s="1" t="s">
        <v>137</v>
      </c>
      <c r="B26" s="1" t="str">
        <f t="shared" si="0"/>
        <v>Show</v>
      </c>
      <c r="C26" s="4" t="s">
        <v>48</v>
      </c>
      <c r="E26" s="13" t="str">
        <f>"""UICACS"","""",""SQL="",""2=DOCNUM"",""33041182"",""14=CUSTREF"",""2025101996"",""14=U_CUSTREF"",""2025101996"",""15=DOCDATE"",""19/12/2025"",""15=TAXDATE"",""19/12/2025"",""14=CARDCODE"",""CS0167-SGD"",""14=CARDNAME"",""ST LUKE'S HOSPITAL"",""14=ITEMCODE"",""MSEP2-27380GLP"",""14=ITEMNAME"","""&amp;"MS OFFICE STANDARD 2024 SLNG LTSC"",""10=QUANTITY"",""1.000000"",""14=U_PONO"",""961481"",""15=U_PODATE"","""",""10=U_TLINTCOS"",""0.000000"",""2=SLPCODE"",""101"",""14=SLPNAME"",""E0001-MM"",""14=MEMO"",""MELIZA MARQUEZ"",""14=CONTACTNAME"",""JULIETTE LIM"",""10=LINETOTAL"",""434.050000"","""&amp;"14=U_ENR"","""",""14=U_MSENR"",""S7138270"",""14=U_MSPCN"",""B816AA67"",""14=ADDRESS2"",""ST LUKE'S HOSPITAL LTD (JULIETTE)_x000D_2 BUKIT BATOK STREET 11 LEVEL 3, IT DEPT  SINGAPORE 659674_x000D_MS JULIETTE LIM_x000D_TEL: 6895 3430_x000D_FAX: 6561 8205_x000D_EMAIL: juliettelim@stluke.org.sg"""</f>
        <v>"UICACS","","SQL=","2=DOCNUM","33041182","14=CUSTREF","2025101996","14=U_CUSTREF","2025101996","15=DOCDATE","19/12/2025","15=TAXDATE","19/12/2025","14=CARDCODE","CS0167-SGD","14=CARDNAME","ST LUKE'S HOSPITAL","14=ITEMCODE","MSEP2-27380GLP","14=ITEMNAME","MS OFFICE STANDARD 2024 SLNG LTSC","10=QUANTITY","1.000000","14=U_PONO","961481","15=U_PODATE","","10=U_TLINTCOS","0.000000","2=SLPCODE","101","14=SLPNAME","E0001-MM","14=MEMO","MELIZA MARQUEZ","14=CONTACTNAME","JULIETTE LIM","10=LINETOTAL","434.050000","14=U_ENR","","14=U_MSENR","S7138270","14=U_MSPCN","B816AA67","14=ADDRESS2","ST LUKE'S HOSPITAL LTD (JULIETTE)_x000D_2 BUKIT BATOK STREET 11 LEVEL 3, IT DEPT  SINGAPORE 659674_x000D_MS JULIETTE LIM_x000D_TEL: 6895 3430_x000D_FAX: 6561 8205_x000D_EMAIL: juliettelim@stluke.org.sg"</v>
      </c>
      <c r="K26" s="22">
        <f>MONTH(N26)</f>
        <v>12</v>
      </c>
      <c r="L26" s="22">
        <f>YEAR(N26)</f>
        <v>2025</v>
      </c>
      <c r="M26" s="4">
        <v>33041182</v>
      </c>
      <c r="N26" s="40">
        <v>46010</v>
      </c>
      <c r="O26" s="22" t="str">
        <f>"S7138270"</f>
        <v>S7138270</v>
      </c>
      <c r="P26" s="22" t="str">
        <f>"B816AA67"</f>
        <v>B816AA67</v>
      </c>
      <c r="Q26" s="22"/>
      <c r="R26" s="22" t="str">
        <f>"CS0167-SGD"</f>
        <v>CS0167-SGD</v>
      </c>
      <c r="S26" s="4" t="str">
        <f>"ST LUKE'S HOSPITAL"</f>
        <v>ST LUKE'S HOSPITAL</v>
      </c>
      <c r="T26" s="22" t="str">
        <f>"2025101996"</f>
        <v>2025101996</v>
      </c>
      <c r="U26" s="47" t="str">
        <f>"961481"</f>
        <v>961481</v>
      </c>
      <c r="V26" s="47">
        <v>46009</v>
      </c>
      <c r="W26" s="47">
        <v>46010</v>
      </c>
      <c r="X26" s="65">
        <f>SUM(N26-V26)</f>
        <v>1</v>
      </c>
      <c r="Y26" s="52" t="str">
        <f>"MSEP2-27380GLP"</f>
        <v>MSEP2-27380GLP</v>
      </c>
      <c r="Z26" s="52" t="str">
        <f>"MS OFFICE STANDARD 2024 SLNG LTSC"</f>
        <v>MS OFFICE STANDARD 2024 SLNG LTSC</v>
      </c>
      <c r="AA26" s="52" t="str">
        <f>"MELIZA MARQUEZ"</f>
        <v>MELIZA MARQUEZ</v>
      </c>
      <c r="AB26" s="65">
        <v>1</v>
      </c>
      <c r="AC26" s="40" t="s">
        <v>96</v>
      </c>
      <c r="AD26" s="66" t="str">
        <f>"ST LUKE'S HOSPITAL LTD (JULIETTE)_x000D_2 BUKIT BATOK STREET 11 LEVEL 3, IT DEPT  SINGAPORE 659674_x000D_MS JULIETTE LIM_x000D_TEL: 6895 3430_x000D_FAX: 6561 8205_x000D_EMAIL: juliettelim@stluke.org.sg"</f>
        <v>ST LUKE'S HOSPITAL LTD (JULIETTE)_x000D_2 BUKIT BATOK STREET 11 LEVEL 3, IT DEPT  SINGAPORE 659674_x000D_MS JULIETTE LIM_x000D_TEL: 6895 3430_x000D_FAX: 6561 8205_x000D_EMAIL: juliettelim@stluke.org.sg</v>
      </c>
      <c r="AE26" s="64" t="s">
        <v>95</v>
      </c>
      <c r="AF26" s="64" t="s">
        <v>97</v>
      </c>
      <c r="AG26" s="3" t="str">
        <f>"MSEP2-27380GLP"</f>
        <v>MSEP2-27380GLP</v>
      </c>
      <c r="AH26" s="3" t="str">
        <f>"MS OFFICE STANDARD 2024 SLNG LTSC"</f>
        <v>MS OFFICE STANDARD 2024 SLNG LTSC</v>
      </c>
      <c r="AI26" s="22" t="s">
        <v>300</v>
      </c>
      <c r="AJ26" s="22" t="str">
        <f t="shared" si="1"/>
        <v>-</v>
      </c>
      <c r="AK26" s="22" t="str">
        <f t="shared" si="1"/>
        <v>-</v>
      </c>
      <c r="AL26" s="22"/>
    </row>
    <row r="27" spans="1:41" hidden="1">
      <c r="B27" s="1" t="str">
        <f>IF(K27="","Hide","Show")</f>
        <v>Hide</v>
      </c>
      <c r="C27" s="4" t="s">
        <v>49</v>
      </c>
      <c r="E27" s="13" t="str">
        <f>""</f>
        <v/>
      </c>
      <c r="K27" s="4" t="str">
        <f>""</f>
        <v/>
      </c>
      <c r="L27" s="40" t="str">
        <f>""</f>
        <v/>
      </c>
      <c r="M27" s="40"/>
      <c r="N27" s="40"/>
      <c r="O27" s="4" t="str">
        <f>""</f>
        <v/>
      </c>
      <c r="P27" s="4"/>
      <c r="Q27" s="4"/>
      <c r="R27" s="4" t="str">
        <f>""</f>
        <v/>
      </c>
      <c r="S27" s="4" t="str">
        <f>""</f>
        <v/>
      </c>
      <c r="T27" s="4" t="str">
        <f>""</f>
        <v/>
      </c>
      <c r="V27" s="47" t="str">
        <f>""</f>
        <v/>
      </c>
      <c r="W27" s="51"/>
      <c r="X27" s="65" t="e">
        <f t="shared" ref="X27:X29" si="2">SUM(N27-V27)</f>
        <v>#VALUE!</v>
      </c>
      <c r="Y27" s="4" t="str">
        <f>""</f>
        <v/>
      </c>
      <c r="Z27" s="4" t="str">
        <f>""</f>
        <v/>
      </c>
      <c r="AA27" s="52" t="str">
        <f t="shared" ref="AA27:AA29" si="3">"MELIZA MARQUEZ"</f>
        <v>MELIZA MARQUEZ</v>
      </c>
      <c r="AB27" s="20" t="str">
        <f>""</f>
        <v/>
      </c>
      <c r="AC27" s="5" t="str">
        <f>""</f>
        <v/>
      </c>
      <c r="AD27" s="4" t="str">
        <f>""</f>
        <v/>
      </c>
      <c r="AE27" s="39"/>
      <c r="AF27" s="64" t="s">
        <v>97</v>
      </c>
    </row>
    <row r="28" spans="1:41" hidden="1">
      <c r="B28" s="1" t="str">
        <f>IF(K28="","Hide","Show")</f>
        <v>Hide</v>
      </c>
      <c r="C28" s="4" t="s">
        <v>50</v>
      </c>
      <c r="E28" s="13" t="str">
        <f>""</f>
        <v/>
      </c>
      <c r="K28" s="4" t="str">
        <f>""</f>
        <v/>
      </c>
      <c r="L28" s="40" t="str">
        <f>""</f>
        <v/>
      </c>
      <c r="M28" s="40"/>
      <c r="N28" s="40"/>
      <c r="O28" s="4" t="str">
        <f>""</f>
        <v/>
      </c>
      <c r="P28" s="4"/>
      <c r="Q28" s="4"/>
      <c r="R28" s="4" t="str">
        <f>""</f>
        <v/>
      </c>
      <c r="S28" s="4" t="str">
        <f>""</f>
        <v/>
      </c>
      <c r="T28" s="4" t="str">
        <f>""</f>
        <v/>
      </c>
      <c r="V28" s="47" t="str">
        <f>""</f>
        <v/>
      </c>
      <c r="W28" s="51"/>
      <c r="X28" s="65" t="e">
        <f t="shared" si="2"/>
        <v>#VALUE!</v>
      </c>
      <c r="Y28" s="4" t="str">
        <f>""</f>
        <v/>
      </c>
      <c r="Z28" s="4" t="str">
        <f>""</f>
        <v/>
      </c>
      <c r="AA28" s="52" t="str">
        <f t="shared" si="3"/>
        <v>MELIZA MARQUEZ</v>
      </c>
      <c r="AB28" s="20" t="str">
        <f>""</f>
        <v/>
      </c>
      <c r="AC28" s="5" t="str">
        <f>""</f>
        <v/>
      </c>
      <c r="AD28" s="4" t="str">
        <f>""</f>
        <v/>
      </c>
      <c r="AE28" s="39"/>
      <c r="AF28" s="64" t="s">
        <v>97</v>
      </c>
    </row>
    <row r="29" spans="1:41">
      <c r="K29" s="22">
        <f>MONTH(N29)</f>
        <v>12</v>
      </c>
      <c r="L29" s="22">
        <f>YEAR(N29)</f>
        <v>2025</v>
      </c>
      <c r="M29" s="70">
        <v>33041144</v>
      </c>
      <c r="N29" s="47">
        <v>46006</v>
      </c>
      <c r="O29" s="22" t="str">
        <f>"S7138270"</f>
        <v>S7138270</v>
      </c>
      <c r="P29" s="18" t="s">
        <v>302</v>
      </c>
      <c r="R29" s="70" t="str">
        <f>"CN0245-SGD"</f>
        <v>CN0245-SGD</v>
      </c>
      <c r="S29" s="70" t="str">
        <f>"NATIONAL UNIVERSITY HEALTH SYSTEM PTE. LTD."</f>
        <v>NATIONAL UNIVERSITY HEALTH SYSTEM PTE. LTD.</v>
      </c>
      <c r="T29" s="71" t="str">
        <f>"7452007465"</f>
        <v>7452007465</v>
      </c>
      <c r="U29" s="22">
        <v>961403</v>
      </c>
      <c r="V29" s="47">
        <v>46003</v>
      </c>
      <c r="W29" s="73">
        <v>46006</v>
      </c>
      <c r="X29" s="65">
        <f t="shared" si="2"/>
        <v>3</v>
      </c>
      <c r="AA29" s="52" t="str">
        <f t="shared" si="3"/>
        <v>MELIZA MARQUEZ</v>
      </c>
      <c r="AB29" s="65">
        <v>3</v>
      </c>
      <c r="AC29" s="40" t="s">
        <v>96</v>
      </c>
      <c r="AD29" s="72" t="s">
        <v>308</v>
      </c>
      <c r="AE29" s="39"/>
      <c r="AF29" s="64" t="s">
        <v>97</v>
      </c>
      <c r="AG29" s="4" t="s">
        <v>306</v>
      </c>
      <c r="AH29" s="4" t="s">
        <v>307</v>
      </c>
      <c r="AI29" s="22" t="s">
        <v>303</v>
      </c>
      <c r="AJ29" s="4" t="s">
        <v>304</v>
      </c>
      <c r="AK29" s="4" t="s">
        <v>305</v>
      </c>
    </row>
    <row r="30" spans="1:41">
      <c r="AM30" s="16"/>
    </row>
    <row r="31" spans="1:41">
      <c r="AN31" s="16"/>
    </row>
    <row r="32" spans="1:41">
      <c r="AO32" s="16"/>
    </row>
    <row r="33" spans="14:47">
      <c r="AP33" s="16"/>
    </row>
    <row r="34" spans="14:47">
      <c r="AQ34" s="16"/>
    </row>
    <row r="35" spans="14:47">
      <c r="AR35" s="16"/>
    </row>
    <row r="36" spans="14:47">
      <c r="AS36" s="16"/>
    </row>
    <row r="37" spans="14:47">
      <c r="AT37" s="16"/>
    </row>
    <row r="38" spans="14:47">
      <c r="AU38" s="16"/>
    </row>
    <row r="45" spans="14:47">
      <c r="N45" s="70"/>
      <c r="O45" s="70"/>
      <c r="P45" s="70"/>
    </row>
  </sheetData>
  <sortState xmlns:xlrd2="http://schemas.microsoft.com/office/spreadsheetml/2017/richdata2" ref="K24:AF392">
    <sortCondition ref="R24:R394"/>
  </sortState>
  <mergeCells count="1">
    <mergeCell ref="K21:AD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9"/>
  <sheetViews>
    <sheetView topLeftCell="C8" zoomScale="70" zoomScaleNormal="70" workbookViewId="0">
      <selection activeCell="P3" sqref="P3"/>
    </sheetView>
  </sheetViews>
  <sheetFormatPr defaultRowHeight="15"/>
  <cols>
    <col min="1" max="1" width="9.140625" hidden="1" customWidth="1"/>
    <col min="2" max="2" width="11.85546875" bestFit="1" customWidth="1"/>
    <col min="3" max="3" width="145" bestFit="1" customWidth="1"/>
    <col min="4" max="4" width="15.5703125" bestFit="1" customWidth="1"/>
    <col min="5" max="5" width="14.85546875" bestFit="1" customWidth="1"/>
    <col min="6" max="6" width="15.42578125" bestFit="1" customWidth="1"/>
    <col min="7" max="7" width="25.140625" bestFit="1" customWidth="1"/>
    <col min="8" max="8" width="13.5703125" bestFit="1" customWidth="1"/>
    <col min="9" max="9" width="19.28515625" bestFit="1" customWidth="1"/>
    <col min="10" max="10" width="13.7109375" bestFit="1" customWidth="1"/>
    <col min="11" max="11" width="14.28515625" bestFit="1" customWidth="1"/>
    <col min="12" max="12" width="11.42578125" bestFit="1" customWidth="1"/>
    <col min="13" max="13" width="11.7109375" bestFit="1" customWidth="1"/>
    <col min="14" max="14" width="15" bestFit="1" customWidth="1"/>
    <col min="15" max="15" width="12.5703125" bestFit="1" customWidth="1"/>
    <col min="16" max="16" width="9.7109375" bestFit="1" customWidth="1"/>
    <col min="17" max="17" width="8" bestFit="1" customWidth="1"/>
    <col min="18" max="18" width="9.85546875" bestFit="1" customWidth="1"/>
    <col min="19" max="19" width="12.140625" bestFit="1" customWidth="1"/>
  </cols>
  <sheetData>
    <row r="1" spans="1:19" hidden="1">
      <c r="A1" t="s">
        <v>75</v>
      </c>
    </row>
    <row r="2" spans="1:19">
      <c r="B2" s="30" t="s">
        <v>14</v>
      </c>
      <c r="C2" s="30" t="s">
        <v>16</v>
      </c>
      <c r="D2" s="30" t="s">
        <v>30</v>
      </c>
      <c r="E2" s="30" t="s">
        <v>31</v>
      </c>
      <c r="F2" s="30" t="s">
        <v>32</v>
      </c>
      <c r="G2" s="30" t="s">
        <v>33</v>
      </c>
      <c r="H2" s="30" t="s">
        <v>34</v>
      </c>
      <c r="I2" s="30" t="s">
        <v>35</v>
      </c>
      <c r="J2" s="30" t="s">
        <v>36</v>
      </c>
      <c r="K2" s="30" t="s">
        <v>12</v>
      </c>
      <c r="L2" s="30" t="s">
        <v>32</v>
      </c>
      <c r="M2" s="30" t="s">
        <v>13</v>
      </c>
      <c r="N2" s="30" t="s">
        <v>37</v>
      </c>
      <c r="O2" s="30" t="s">
        <v>38</v>
      </c>
      <c r="P2" s="31" t="s">
        <v>17</v>
      </c>
      <c r="Q2" s="30" t="s">
        <v>15</v>
      </c>
      <c r="R2" s="31" t="s">
        <v>57</v>
      </c>
      <c r="S2" s="32" t="s">
        <v>58</v>
      </c>
    </row>
    <row r="3" spans="1:19">
      <c r="B3" s="33" t="s">
        <v>59</v>
      </c>
      <c r="C3" s="34" t="s">
        <v>60</v>
      </c>
      <c r="D3" s="33" t="s">
        <v>39</v>
      </c>
      <c r="E3" s="33" t="s">
        <v>61</v>
      </c>
      <c r="F3" s="33" t="s">
        <v>62</v>
      </c>
      <c r="G3" s="33" t="s">
        <v>63</v>
      </c>
      <c r="H3" s="33" t="s">
        <v>64</v>
      </c>
      <c r="I3" s="33" t="s">
        <v>40</v>
      </c>
      <c r="J3" s="33" t="s">
        <v>65</v>
      </c>
      <c r="K3" s="33" t="s">
        <v>66</v>
      </c>
      <c r="L3" s="33" t="s">
        <v>67</v>
      </c>
      <c r="M3" s="33" t="s">
        <v>68</v>
      </c>
      <c r="N3" s="33" t="s">
        <v>69</v>
      </c>
      <c r="O3" s="33" t="s">
        <v>70</v>
      </c>
      <c r="P3" s="34" t="s">
        <v>71</v>
      </c>
      <c r="Q3" s="33" t="s">
        <v>72</v>
      </c>
      <c r="R3" s="35" t="e">
        <v>#VALUE!</v>
      </c>
      <c r="S3" s="35" t="s">
        <v>73</v>
      </c>
    </row>
    <row r="4" spans="1:19">
      <c r="B4" s="10" t="s">
        <v>14</v>
      </c>
      <c r="C4" s="10" t="s">
        <v>16</v>
      </c>
      <c r="D4" s="19" t="s">
        <v>30</v>
      </c>
      <c r="E4" s="10" t="s">
        <v>31</v>
      </c>
      <c r="F4" s="11" t="s">
        <v>32</v>
      </c>
      <c r="G4" s="11" t="s">
        <v>33</v>
      </c>
      <c r="H4" s="11" t="s">
        <v>34</v>
      </c>
      <c r="I4" s="10" t="s">
        <v>35</v>
      </c>
      <c r="J4" s="12" t="s">
        <v>36</v>
      </c>
      <c r="K4" s="12" t="s">
        <v>12</v>
      </c>
      <c r="L4" s="11" t="s">
        <v>32</v>
      </c>
      <c r="M4" s="11" t="s">
        <v>13</v>
      </c>
      <c r="N4" s="11" t="s">
        <v>37</v>
      </c>
      <c r="O4" s="11" t="s">
        <v>38</v>
      </c>
      <c r="P4" s="11" t="s">
        <v>17</v>
      </c>
      <c r="Q4" s="11" t="s">
        <v>15</v>
      </c>
      <c r="R4" s="35"/>
      <c r="S4" s="35"/>
    </row>
    <row r="5" spans="1:19" ht="195">
      <c r="B5" t="s">
        <v>74</v>
      </c>
      <c r="C5" s="29" t="s">
        <v>54</v>
      </c>
    </row>
    <row r="7" spans="1:19" ht="195">
      <c r="C7" s="29" t="s">
        <v>56</v>
      </c>
    </row>
    <row r="9" spans="1:19" ht="195">
      <c r="C9" s="29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5706E-2CE0-4F9F-8BD4-E25E5FC8379D}">
  <dimension ref="A1:B9"/>
  <sheetViews>
    <sheetView topLeftCell="B2" workbookViewId="0">
      <selection activeCell="B9" sqref="B9"/>
    </sheetView>
  </sheetViews>
  <sheetFormatPr defaultRowHeight="15"/>
  <cols>
    <col min="1" max="1" width="8.85546875" hidden="1" customWidth="1"/>
  </cols>
  <sheetData>
    <row r="1" spans="1:2" hidden="1">
      <c r="A1" t="s">
        <v>75</v>
      </c>
    </row>
    <row r="5" spans="1:2" ht="18.75">
      <c r="B5" s="67" t="s">
        <v>99</v>
      </c>
    </row>
    <row r="7" spans="1:2">
      <c r="B7" s="6" t="str">
        <f>"'CI1148-SGD','CN0035-SGD', 'CA0035-SGD','CN0359-SGD','CJ0050-SGD', 'CG0164-SGD','CY0036-SGD','CI1244-SGD',"</f>
        <v>'CI1148-SGD','CN0035-SGD', 'CA0035-SGD','CN0359-SGD','CJ0050-SGD', 'CG0164-SGD','CY0036-SGD','CI1244-SGD',</v>
      </c>
    </row>
    <row r="8" spans="1:2">
      <c r="B8" s="4" t="str">
        <f>"'CI1252-SGD','CI1278-SGD','CI1305-SGD','CN0025-SGD','CN0026-SGD','CN0170-SGD','CN0210-SGD','CI1296-SGD','CA0216-SGD','CT0122-SGD'"</f>
        <v>'CI1252-SGD','CI1278-SGD','CI1305-SGD','CN0025-SGD','CN0026-SGD','CN0170-SGD','CN0210-SGD','CI1296-SGD','CA0216-SGD','CT0122-SGD'</v>
      </c>
    </row>
    <row r="9" spans="1:2">
      <c r="B9" s="4" t="str">
        <f>"'CW0080-SGD','CY0036-SGD','CW0080-SGD','CS0176-SGD','CG0164-SGD'"</f>
        <v>'CW0080-SGD','CY0036-SGD','CW0080-SGD','CS0176-SGD','CG0164-SGD'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52AC3-7A9A-4EB2-89AD-D2599CE71C07}">
  <dimension ref="A1:E26"/>
  <sheetViews>
    <sheetView workbookViewId="0"/>
  </sheetViews>
  <sheetFormatPr defaultRowHeight="15"/>
  <sheetData>
    <row r="1" spans="1:5">
      <c r="A1" s="68" t="s">
        <v>147</v>
      </c>
      <c r="B1" s="68" t="s">
        <v>1</v>
      </c>
      <c r="C1" s="68" t="s">
        <v>2</v>
      </c>
      <c r="D1" s="68" t="s">
        <v>3</v>
      </c>
    </row>
    <row r="2" spans="1:5">
      <c r="B2" s="68" t="s">
        <v>19</v>
      </c>
      <c r="C2" s="68" t="s">
        <v>4</v>
      </c>
    </row>
    <row r="3" spans="1:5">
      <c r="A3" s="68" t="s">
        <v>0</v>
      </c>
      <c r="B3" s="68" t="s">
        <v>5</v>
      </c>
      <c r="C3" s="68" t="s">
        <v>283</v>
      </c>
    </row>
    <row r="4" spans="1:5">
      <c r="A4" s="68" t="s">
        <v>0</v>
      </c>
      <c r="B4" s="68" t="s">
        <v>6</v>
      </c>
      <c r="C4" s="68" t="s">
        <v>284</v>
      </c>
    </row>
    <row r="5" spans="1:5">
      <c r="A5" s="68" t="s">
        <v>0</v>
      </c>
      <c r="B5" s="68" t="s">
        <v>26</v>
      </c>
      <c r="C5" s="68" t="s">
        <v>100</v>
      </c>
      <c r="D5" s="68" t="s">
        <v>101</v>
      </c>
      <c r="E5" s="68" t="s">
        <v>45</v>
      </c>
    </row>
    <row r="8" spans="1:5">
      <c r="A8" s="68" t="s">
        <v>8</v>
      </c>
      <c r="C8" s="68" t="s">
        <v>102</v>
      </c>
    </row>
    <row r="9" spans="1:5">
      <c r="A9" s="68" t="s">
        <v>9</v>
      </c>
      <c r="C9" s="68" t="s">
        <v>103</v>
      </c>
    </row>
    <row r="10" spans="1:5">
      <c r="B10" s="68" t="s">
        <v>42</v>
      </c>
      <c r="C10" s="68" t="s">
        <v>104</v>
      </c>
    </row>
    <row r="11" spans="1:5">
      <c r="B11" s="68" t="s">
        <v>39</v>
      </c>
      <c r="C11" s="68" t="s">
        <v>104</v>
      </c>
    </row>
    <row r="12" spans="1:5">
      <c r="B12" s="68" t="s">
        <v>43</v>
      </c>
      <c r="C12" s="68" t="s">
        <v>105</v>
      </c>
    </row>
    <row r="13" spans="1:5">
      <c r="B13" s="68" t="s">
        <v>44</v>
      </c>
      <c r="C13" s="68" t="s">
        <v>106</v>
      </c>
      <c r="D13" s="68" t="s">
        <v>107</v>
      </c>
    </row>
    <row r="14" spans="1:5">
      <c r="D14" s="68" t="s">
        <v>108</v>
      </c>
    </row>
    <row r="15" spans="1:5">
      <c r="D15" s="68" t="s">
        <v>282</v>
      </c>
    </row>
    <row r="23" spans="3:3">
      <c r="C23" s="68" t="s">
        <v>77</v>
      </c>
    </row>
    <row r="24" spans="3:3">
      <c r="C24" s="68" t="s">
        <v>109</v>
      </c>
    </row>
    <row r="25" spans="3:3">
      <c r="C25" s="68" t="s">
        <v>110</v>
      </c>
    </row>
    <row r="26" spans="3:3">
      <c r="C26" s="68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38AD6-990D-491D-A87D-578A26FC79A5}">
  <dimension ref="A1:E26"/>
  <sheetViews>
    <sheetView workbookViewId="0"/>
  </sheetViews>
  <sheetFormatPr defaultRowHeight="15"/>
  <sheetData>
    <row r="1" spans="1:5">
      <c r="A1" s="68" t="s">
        <v>147</v>
      </c>
      <c r="B1" s="68" t="s">
        <v>1</v>
      </c>
      <c r="C1" s="68" t="s">
        <v>2</v>
      </c>
      <c r="D1" s="68" t="s">
        <v>3</v>
      </c>
    </row>
    <row r="2" spans="1:5">
      <c r="B2" s="68" t="s">
        <v>19</v>
      </c>
      <c r="C2" s="68" t="s">
        <v>4</v>
      </c>
    </row>
    <row r="3" spans="1:5">
      <c r="A3" s="68" t="s">
        <v>0</v>
      </c>
      <c r="B3" s="68" t="s">
        <v>5</v>
      </c>
      <c r="C3" s="68" t="s">
        <v>283</v>
      </c>
    </row>
    <row r="4" spans="1:5">
      <c r="A4" s="68" t="s">
        <v>0</v>
      </c>
      <c r="B4" s="68" t="s">
        <v>6</v>
      </c>
      <c r="C4" s="68" t="s">
        <v>284</v>
      </c>
    </row>
    <row r="5" spans="1:5">
      <c r="A5" s="68" t="s">
        <v>0</v>
      </c>
      <c r="B5" s="68" t="s">
        <v>26</v>
      </c>
      <c r="C5" s="68" t="s">
        <v>100</v>
      </c>
      <c r="D5" s="68" t="s">
        <v>101</v>
      </c>
      <c r="E5" s="68" t="s">
        <v>45</v>
      </c>
    </row>
    <row r="8" spans="1:5">
      <c r="A8" s="68" t="s">
        <v>8</v>
      </c>
      <c r="C8" s="68" t="s">
        <v>102</v>
      </c>
    </row>
    <row r="9" spans="1:5">
      <c r="A9" s="68" t="s">
        <v>9</v>
      </c>
      <c r="C9" s="68" t="s">
        <v>103</v>
      </c>
    </row>
    <row r="10" spans="1:5">
      <c r="B10" s="68" t="s">
        <v>42</v>
      </c>
      <c r="C10" s="68" t="s">
        <v>104</v>
      </c>
    </row>
    <row r="11" spans="1:5">
      <c r="B11" s="68" t="s">
        <v>39</v>
      </c>
      <c r="C11" s="68" t="s">
        <v>104</v>
      </c>
    </row>
    <row r="12" spans="1:5">
      <c r="B12" s="68" t="s">
        <v>43</v>
      </c>
      <c r="C12" s="68" t="s">
        <v>105</v>
      </c>
    </row>
    <row r="13" spans="1:5">
      <c r="B13" s="68" t="s">
        <v>44</v>
      </c>
      <c r="C13" s="68" t="s">
        <v>106</v>
      </c>
      <c r="D13" s="68" t="s">
        <v>107</v>
      </c>
    </row>
    <row r="14" spans="1:5">
      <c r="D14" s="68" t="s">
        <v>108</v>
      </c>
    </row>
    <row r="15" spans="1:5">
      <c r="D15" s="68" t="s">
        <v>282</v>
      </c>
    </row>
    <row r="23" spans="3:3">
      <c r="C23" s="68" t="s">
        <v>77</v>
      </c>
    </row>
    <row r="24" spans="3:3">
      <c r="C24" s="68" t="s">
        <v>109</v>
      </c>
    </row>
    <row r="25" spans="3:3">
      <c r="C25" s="68" t="s">
        <v>110</v>
      </c>
    </row>
    <row r="26" spans="3:3">
      <c r="C26" s="68" t="s">
        <v>111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9A86A-033D-4AF8-9AB6-884817DB451A}">
  <dimension ref="A1:AP28"/>
  <sheetViews>
    <sheetView workbookViewId="0"/>
  </sheetViews>
  <sheetFormatPr defaultRowHeight="15"/>
  <sheetData>
    <row r="1" spans="1:33">
      <c r="A1" s="68" t="s">
        <v>148</v>
      </c>
      <c r="B1" s="68" t="s">
        <v>46</v>
      </c>
      <c r="C1" s="68" t="s">
        <v>7</v>
      </c>
      <c r="D1" s="68" t="s">
        <v>7</v>
      </c>
      <c r="E1" s="68" t="s">
        <v>7</v>
      </c>
      <c r="F1" s="68" t="s">
        <v>7</v>
      </c>
      <c r="G1" s="68" t="s">
        <v>7</v>
      </c>
      <c r="H1" s="68" t="s">
        <v>7</v>
      </c>
      <c r="I1" s="68" t="s">
        <v>7</v>
      </c>
      <c r="J1" s="68" t="s">
        <v>53</v>
      </c>
      <c r="K1" s="68" t="s">
        <v>18</v>
      </c>
      <c r="L1" s="68" t="s">
        <v>18</v>
      </c>
      <c r="O1" s="68" t="s">
        <v>18</v>
      </c>
      <c r="P1" s="68" t="s">
        <v>18</v>
      </c>
      <c r="R1" s="68" t="s">
        <v>18</v>
      </c>
      <c r="S1" s="68" t="s">
        <v>18</v>
      </c>
      <c r="T1" s="68" t="s">
        <v>18</v>
      </c>
      <c r="V1" s="68" t="s">
        <v>18</v>
      </c>
      <c r="W1" s="68" t="s">
        <v>18</v>
      </c>
      <c r="Y1" s="68" t="s">
        <v>7</v>
      </c>
      <c r="Z1" s="68" t="s">
        <v>7</v>
      </c>
      <c r="AA1" s="68" t="s">
        <v>18</v>
      </c>
      <c r="AB1" s="68" t="s">
        <v>18</v>
      </c>
      <c r="AE1" s="68" t="s">
        <v>18</v>
      </c>
      <c r="AG1" s="68" t="s">
        <v>18</v>
      </c>
    </row>
    <row r="2" spans="1:33">
      <c r="A2" s="68" t="s">
        <v>7</v>
      </c>
      <c r="D2" s="68" t="s">
        <v>19</v>
      </c>
      <c r="E2" s="68" t="s">
        <v>112</v>
      </c>
    </row>
    <row r="3" spans="1:33">
      <c r="A3" s="68" t="s">
        <v>7</v>
      </c>
      <c r="D3" s="68" t="s">
        <v>22</v>
      </c>
      <c r="E3" s="68" t="s">
        <v>20</v>
      </c>
      <c r="F3" s="68" t="s">
        <v>21</v>
      </c>
      <c r="G3" s="68" t="s">
        <v>23</v>
      </c>
      <c r="H3" s="68" t="s">
        <v>47</v>
      </c>
      <c r="I3" s="68" t="s">
        <v>24</v>
      </c>
    </row>
    <row r="4" spans="1:33">
      <c r="A4" s="68" t="s">
        <v>7</v>
      </c>
      <c r="C4" s="68" t="s">
        <v>11</v>
      </c>
      <c r="D4" s="68" t="s">
        <v>113</v>
      </c>
      <c r="E4" s="68" t="s">
        <v>114</v>
      </c>
      <c r="F4" s="68" t="s">
        <v>51</v>
      </c>
      <c r="G4" s="68" t="s">
        <v>25</v>
      </c>
      <c r="H4" s="68" t="s">
        <v>115</v>
      </c>
    </row>
    <row r="5" spans="1:33">
      <c r="A5" s="68" t="s">
        <v>7</v>
      </c>
      <c r="C5" s="68" t="s">
        <v>10</v>
      </c>
      <c r="D5" s="68" t="s">
        <v>116</v>
      </c>
      <c r="E5" s="68" t="s">
        <v>117</v>
      </c>
      <c r="F5" s="68" t="s">
        <v>52</v>
      </c>
      <c r="G5" s="68" t="s">
        <v>25</v>
      </c>
      <c r="H5" s="68" t="s">
        <v>115</v>
      </c>
      <c r="I5" s="68" t="s">
        <v>118</v>
      </c>
    </row>
    <row r="6" spans="1:33">
      <c r="A6" s="68" t="s">
        <v>7</v>
      </c>
      <c r="C6" s="68" t="s">
        <v>41</v>
      </c>
      <c r="D6" s="68" t="s">
        <v>119</v>
      </c>
      <c r="E6" s="68" t="s">
        <v>120</v>
      </c>
      <c r="F6" s="68" t="s">
        <v>52</v>
      </c>
      <c r="G6" s="68" t="s">
        <v>25</v>
      </c>
      <c r="H6" s="68" t="s">
        <v>115</v>
      </c>
      <c r="I6" s="68" t="s">
        <v>121</v>
      </c>
    </row>
    <row r="7" spans="1:33">
      <c r="A7" s="68" t="s">
        <v>7</v>
      </c>
    </row>
    <row r="8" spans="1:33">
      <c r="A8" s="68" t="s">
        <v>7</v>
      </c>
    </row>
    <row r="9" spans="1:33">
      <c r="A9" s="68" t="s">
        <v>7</v>
      </c>
    </row>
    <row r="10" spans="1:33">
      <c r="A10" s="68" t="s">
        <v>7</v>
      </c>
    </row>
    <row r="11" spans="1:33">
      <c r="A11" s="68" t="s">
        <v>7</v>
      </c>
      <c r="C11" s="68" t="s">
        <v>27</v>
      </c>
      <c r="E11" s="68" t="s">
        <v>122</v>
      </c>
    </row>
    <row r="12" spans="1:33">
      <c r="A12" s="68" t="s">
        <v>7</v>
      </c>
      <c r="C12" s="68" t="s">
        <v>28</v>
      </c>
      <c r="E12" s="68" t="s">
        <v>123</v>
      </c>
    </row>
    <row r="13" spans="1:33">
      <c r="A13" s="68" t="s">
        <v>7</v>
      </c>
      <c r="C13" s="68" t="s">
        <v>42</v>
      </c>
      <c r="E13" s="68" t="s">
        <v>124</v>
      </c>
    </row>
    <row r="14" spans="1:33">
      <c r="A14" s="68" t="s">
        <v>7</v>
      </c>
      <c r="C14" s="68" t="s">
        <v>39</v>
      </c>
      <c r="E14" s="68" t="s">
        <v>125</v>
      </c>
    </row>
    <row r="15" spans="1:33">
      <c r="A15" s="68" t="s">
        <v>7</v>
      </c>
      <c r="C15" s="68" t="s">
        <v>43</v>
      </c>
      <c r="E15" s="68" t="s">
        <v>126</v>
      </c>
    </row>
    <row r="16" spans="1:33">
      <c r="A16" s="68" t="s">
        <v>7</v>
      </c>
      <c r="C16" s="68" t="s">
        <v>44</v>
      </c>
      <c r="E16" s="68" t="s">
        <v>127</v>
      </c>
    </row>
    <row r="17" spans="1:42">
      <c r="A17" s="68" t="s">
        <v>7</v>
      </c>
    </row>
    <row r="18" spans="1:42">
      <c r="A18" s="68" t="s">
        <v>7</v>
      </c>
    </row>
    <row r="21" spans="1:42">
      <c r="K21" s="68" t="s">
        <v>76</v>
      </c>
    </row>
    <row r="23" spans="1:42">
      <c r="E23" s="68" t="s">
        <v>29</v>
      </c>
      <c r="K23" s="68" t="s">
        <v>78</v>
      </c>
      <c r="L23" s="68" t="s">
        <v>79</v>
      </c>
      <c r="M23" s="68" t="s">
        <v>14</v>
      </c>
      <c r="N23" s="68" t="s">
        <v>16</v>
      </c>
      <c r="O23" s="68" t="s">
        <v>30</v>
      </c>
      <c r="P23" s="68" t="s">
        <v>98</v>
      </c>
      <c r="Q23" s="68" t="s">
        <v>80</v>
      </c>
      <c r="R23" s="68" t="s">
        <v>31</v>
      </c>
      <c r="S23" s="68" t="s">
        <v>38</v>
      </c>
      <c r="T23" s="68" t="s">
        <v>34</v>
      </c>
      <c r="U23" s="68" t="s">
        <v>15</v>
      </c>
      <c r="V23" s="68" t="s">
        <v>17</v>
      </c>
      <c r="W23" s="68" t="s">
        <v>81</v>
      </c>
      <c r="X23" s="68" t="s">
        <v>82</v>
      </c>
      <c r="Y23" s="68" t="s">
        <v>36</v>
      </c>
      <c r="Z23" s="68" t="s">
        <v>12</v>
      </c>
      <c r="AA23" s="68" t="s">
        <v>32</v>
      </c>
      <c r="AB23" s="68" t="s">
        <v>13</v>
      </c>
      <c r="AC23" s="68" t="s">
        <v>57</v>
      </c>
      <c r="AD23" s="68" t="s">
        <v>58</v>
      </c>
      <c r="AE23" s="68" t="s">
        <v>83</v>
      </c>
      <c r="AF23" s="68" t="s">
        <v>84</v>
      </c>
      <c r="AG23" s="68" t="s">
        <v>85</v>
      </c>
      <c r="AH23" s="68" t="s">
        <v>86</v>
      </c>
      <c r="AI23" s="68" t="s">
        <v>87</v>
      </c>
      <c r="AJ23" s="68" t="s">
        <v>88</v>
      </c>
      <c r="AK23" s="68" t="s">
        <v>89</v>
      </c>
      <c r="AL23" s="68" t="s">
        <v>90</v>
      </c>
      <c r="AM23" s="68" t="s">
        <v>91</v>
      </c>
      <c r="AN23" s="68" t="s">
        <v>92</v>
      </c>
      <c r="AO23" s="68" t="s">
        <v>93</v>
      </c>
      <c r="AP23" s="68" t="s">
        <v>94</v>
      </c>
    </row>
    <row r="24" spans="1:42">
      <c r="B24" s="68" t="s">
        <v>128</v>
      </c>
      <c r="C24" s="68" t="s">
        <v>48</v>
      </c>
      <c r="E24" s="68" t="s">
        <v>129</v>
      </c>
      <c r="K24" s="68" t="s">
        <v>130</v>
      </c>
      <c r="L24" s="68" t="s">
        <v>131</v>
      </c>
      <c r="M24" s="68" t="s">
        <v>149</v>
      </c>
      <c r="N24" s="68" t="s">
        <v>150</v>
      </c>
      <c r="O24" s="68" t="s">
        <v>151</v>
      </c>
      <c r="P24" s="68" t="s">
        <v>152</v>
      </c>
      <c r="R24" s="68" t="s">
        <v>153</v>
      </c>
      <c r="S24" s="68" t="s">
        <v>154</v>
      </c>
      <c r="T24" s="68" t="s">
        <v>155</v>
      </c>
      <c r="U24" s="68" t="s">
        <v>156</v>
      </c>
      <c r="V24" s="68" t="s">
        <v>157</v>
      </c>
      <c r="W24" s="68" t="s">
        <v>158</v>
      </c>
      <c r="X24" s="68" t="s">
        <v>159</v>
      </c>
      <c r="Y24" s="68" t="s">
        <v>160</v>
      </c>
      <c r="Z24" s="68" t="s">
        <v>161</v>
      </c>
      <c r="AA24" s="68" t="s">
        <v>162</v>
      </c>
      <c r="AB24" s="68" t="s">
        <v>163</v>
      </c>
      <c r="AC24" s="68" t="s">
        <v>164</v>
      </c>
      <c r="AD24" s="68" t="s">
        <v>165</v>
      </c>
      <c r="AE24" s="68" t="s">
        <v>166</v>
      </c>
      <c r="AF24" s="68" t="s">
        <v>165</v>
      </c>
      <c r="AG24" s="68" t="s">
        <v>96</v>
      </c>
      <c r="AH24" s="68" t="s">
        <v>167</v>
      </c>
      <c r="AI24" s="68" t="s">
        <v>95</v>
      </c>
      <c r="AJ24" s="68" t="s">
        <v>97</v>
      </c>
      <c r="AK24" s="68" t="s">
        <v>168</v>
      </c>
      <c r="AL24" s="68" t="s">
        <v>169</v>
      </c>
      <c r="AM24" s="68" t="s">
        <v>170</v>
      </c>
      <c r="AN24" s="68" t="s">
        <v>171</v>
      </c>
      <c r="AO24" s="68" t="s">
        <v>172</v>
      </c>
      <c r="AP24" s="68" t="s">
        <v>173</v>
      </c>
    </row>
    <row r="25" spans="1:42">
      <c r="B25" s="68" t="s">
        <v>132</v>
      </c>
      <c r="C25" s="68" t="s">
        <v>49</v>
      </c>
      <c r="E25" s="68" t="s">
        <v>133</v>
      </c>
      <c r="K25" s="68" t="s">
        <v>174</v>
      </c>
      <c r="L25" s="68" t="s">
        <v>175</v>
      </c>
      <c r="O25" s="68" t="s">
        <v>176</v>
      </c>
      <c r="R25" s="68" t="s">
        <v>177</v>
      </c>
      <c r="S25" s="68" t="s">
        <v>178</v>
      </c>
      <c r="T25" s="68" t="s">
        <v>179</v>
      </c>
      <c r="V25" s="68" t="s">
        <v>180</v>
      </c>
      <c r="Y25" s="68" t="s">
        <v>179</v>
      </c>
      <c r="Z25" s="68" t="s">
        <v>181</v>
      </c>
      <c r="AA25" s="68" t="s">
        <v>182</v>
      </c>
      <c r="AB25" s="68" t="s">
        <v>183</v>
      </c>
      <c r="AC25" s="68" t="s">
        <v>184</v>
      </c>
      <c r="AD25" s="68" t="s">
        <v>185</v>
      </c>
      <c r="AE25" s="68" t="s">
        <v>186</v>
      </c>
      <c r="AF25" s="68" t="s">
        <v>187</v>
      </c>
      <c r="AG25" s="68" t="s">
        <v>188</v>
      </c>
      <c r="AH25" s="68" t="s">
        <v>189</v>
      </c>
    </row>
    <row r="26" spans="1:42">
      <c r="B26" s="68" t="s">
        <v>134</v>
      </c>
      <c r="C26" s="68" t="s">
        <v>50</v>
      </c>
      <c r="E26" s="68" t="s">
        <v>135</v>
      </c>
      <c r="K26" s="68" t="s">
        <v>190</v>
      </c>
      <c r="L26" s="68" t="s">
        <v>191</v>
      </c>
      <c r="O26" s="68" t="s">
        <v>192</v>
      </c>
      <c r="R26" s="68" t="s">
        <v>193</v>
      </c>
      <c r="S26" s="68" t="s">
        <v>194</v>
      </c>
      <c r="T26" s="68" t="s">
        <v>195</v>
      </c>
      <c r="V26" s="68" t="s">
        <v>196</v>
      </c>
      <c r="Y26" s="68" t="s">
        <v>195</v>
      </c>
      <c r="Z26" s="68" t="s">
        <v>197</v>
      </c>
      <c r="AA26" s="68" t="s">
        <v>198</v>
      </c>
      <c r="AB26" s="68" t="s">
        <v>199</v>
      </c>
      <c r="AC26" s="68" t="s">
        <v>200</v>
      </c>
      <c r="AD26" s="68" t="s">
        <v>201</v>
      </c>
      <c r="AE26" s="68" t="s">
        <v>202</v>
      </c>
      <c r="AF26" s="68" t="s">
        <v>203</v>
      </c>
      <c r="AG26" s="68" t="s">
        <v>204</v>
      </c>
      <c r="AH26" s="68" t="s">
        <v>205</v>
      </c>
    </row>
    <row r="28" spans="1:42">
      <c r="AC28" s="68" t="s">
        <v>136</v>
      </c>
      <c r="AD28" s="68" t="s">
        <v>206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EBC9A-7B98-4547-90FC-9F7D91E0AAD7}">
  <dimension ref="A1:AP28"/>
  <sheetViews>
    <sheetView workbookViewId="0"/>
  </sheetViews>
  <sheetFormatPr defaultRowHeight="15"/>
  <sheetData>
    <row r="1" spans="1:33">
      <c r="A1" s="68" t="s">
        <v>148</v>
      </c>
      <c r="B1" s="68" t="s">
        <v>46</v>
      </c>
      <c r="C1" s="68" t="s">
        <v>7</v>
      </c>
      <c r="D1" s="68" t="s">
        <v>7</v>
      </c>
      <c r="E1" s="68" t="s">
        <v>7</v>
      </c>
      <c r="F1" s="68" t="s">
        <v>7</v>
      </c>
      <c r="G1" s="68" t="s">
        <v>7</v>
      </c>
      <c r="H1" s="68" t="s">
        <v>7</v>
      </c>
      <c r="I1" s="68" t="s">
        <v>7</v>
      </c>
      <c r="J1" s="68" t="s">
        <v>53</v>
      </c>
      <c r="K1" s="68" t="s">
        <v>18</v>
      </c>
      <c r="L1" s="68" t="s">
        <v>18</v>
      </c>
      <c r="O1" s="68" t="s">
        <v>18</v>
      </c>
      <c r="P1" s="68" t="s">
        <v>18</v>
      </c>
      <c r="R1" s="68" t="s">
        <v>18</v>
      </c>
      <c r="S1" s="68" t="s">
        <v>18</v>
      </c>
      <c r="T1" s="68" t="s">
        <v>18</v>
      </c>
      <c r="V1" s="68" t="s">
        <v>18</v>
      </c>
      <c r="W1" s="68" t="s">
        <v>18</v>
      </c>
      <c r="Y1" s="68" t="s">
        <v>7</v>
      </c>
      <c r="Z1" s="68" t="s">
        <v>7</v>
      </c>
      <c r="AA1" s="68" t="s">
        <v>18</v>
      </c>
      <c r="AB1" s="68" t="s">
        <v>18</v>
      </c>
      <c r="AE1" s="68" t="s">
        <v>18</v>
      </c>
      <c r="AG1" s="68" t="s">
        <v>18</v>
      </c>
    </row>
    <row r="2" spans="1:33">
      <c r="A2" s="68" t="s">
        <v>7</v>
      </c>
      <c r="D2" s="68" t="s">
        <v>19</v>
      </c>
      <c r="E2" s="68" t="s">
        <v>112</v>
      </c>
    </row>
    <row r="3" spans="1:33">
      <c r="A3" s="68" t="s">
        <v>7</v>
      </c>
      <c r="D3" s="68" t="s">
        <v>22</v>
      </c>
      <c r="E3" s="68" t="s">
        <v>20</v>
      </c>
      <c r="F3" s="68" t="s">
        <v>21</v>
      </c>
      <c r="G3" s="68" t="s">
        <v>23</v>
      </c>
      <c r="H3" s="68" t="s">
        <v>47</v>
      </c>
      <c r="I3" s="68" t="s">
        <v>24</v>
      </c>
    </row>
    <row r="4" spans="1:33">
      <c r="A4" s="68" t="s">
        <v>7</v>
      </c>
      <c r="C4" s="68" t="s">
        <v>11</v>
      </c>
      <c r="D4" s="68" t="s">
        <v>113</v>
      </c>
      <c r="E4" s="68" t="s">
        <v>114</v>
      </c>
      <c r="F4" s="68" t="s">
        <v>51</v>
      </c>
      <c r="G4" s="68" t="s">
        <v>25</v>
      </c>
      <c r="H4" s="68" t="s">
        <v>115</v>
      </c>
    </row>
    <row r="5" spans="1:33">
      <c r="A5" s="68" t="s">
        <v>7</v>
      </c>
      <c r="C5" s="68" t="s">
        <v>10</v>
      </c>
      <c r="D5" s="68" t="s">
        <v>116</v>
      </c>
      <c r="E5" s="68" t="s">
        <v>117</v>
      </c>
      <c r="F5" s="68" t="s">
        <v>52</v>
      </c>
      <c r="G5" s="68" t="s">
        <v>25</v>
      </c>
      <c r="H5" s="68" t="s">
        <v>115</v>
      </c>
      <c r="I5" s="68" t="s">
        <v>118</v>
      </c>
    </row>
    <row r="6" spans="1:33">
      <c r="A6" s="68" t="s">
        <v>7</v>
      </c>
      <c r="C6" s="68" t="s">
        <v>41</v>
      </c>
      <c r="D6" s="68" t="s">
        <v>119</v>
      </c>
      <c r="E6" s="68" t="s">
        <v>120</v>
      </c>
      <c r="F6" s="68" t="s">
        <v>52</v>
      </c>
      <c r="G6" s="68" t="s">
        <v>25</v>
      </c>
      <c r="H6" s="68" t="s">
        <v>115</v>
      </c>
      <c r="I6" s="68" t="s">
        <v>121</v>
      </c>
    </row>
    <row r="7" spans="1:33">
      <c r="A7" s="68" t="s">
        <v>7</v>
      </c>
    </row>
    <row r="8" spans="1:33">
      <c r="A8" s="68" t="s">
        <v>7</v>
      </c>
    </row>
    <row r="9" spans="1:33">
      <c r="A9" s="68" t="s">
        <v>7</v>
      </c>
    </row>
    <row r="10" spans="1:33">
      <c r="A10" s="68" t="s">
        <v>7</v>
      </c>
    </row>
    <row r="11" spans="1:33">
      <c r="A11" s="68" t="s">
        <v>7</v>
      </c>
      <c r="C11" s="68" t="s">
        <v>27</v>
      </c>
      <c r="E11" s="68" t="s">
        <v>122</v>
      </c>
    </row>
    <row r="12" spans="1:33">
      <c r="A12" s="68" t="s">
        <v>7</v>
      </c>
      <c r="C12" s="68" t="s">
        <v>28</v>
      </c>
      <c r="E12" s="68" t="s">
        <v>123</v>
      </c>
    </row>
    <row r="13" spans="1:33">
      <c r="A13" s="68" t="s">
        <v>7</v>
      </c>
      <c r="C13" s="68" t="s">
        <v>42</v>
      </c>
      <c r="E13" s="68" t="s">
        <v>124</v>
      </c>
    </row>
    <row r="14" spans="1:33">
      <c r="A14" s="68" t="s">
        <v>7</v>
      </c>
      <c r="C14" s="68" t="s">
        <v>39</v>
      </c>
      <c r="E14" s="68" t="s">
        <v>125</v>
      </c>
    </row>
    <row r="15" spans="1:33">
      <c r="A15" s="68" t="s">
        <v>7</v>
      </c>
      <c r="C15" s="68" t="s">
        <v>43</v>
      </c>
      <c r="E15" s="68" t="s">
        <v>126</v>
      </c>
    </row>
    <row r="16" spans="1:33">
      <c r="A16" s="68" t="s">
        <v>7</v>
      </c>
      <c r="C16" s="68" t="s">
        <v>44</v>
      </c>
      <c r="E16" s="68" t="s">
        <v>127</v>
      </c>
    </row>
    <row r="17" spans="1:42">
      <c r="A17" s="68" t="s">
        <v>7</v>
      </c>
    </row>
    <row r="18" spans="1:42">
      <c r="A18" s="68" t="s">
        <v>7</v>
      </c>
    </row>
    <row r="21" spans="1:42">
      <c r="K21" s="68" t="s">
        <v>76</v>
      </c>
    </row>
    <row r="23" spans="1:42">
      <c r="E23" s="68" t="s">
        <v>29</v>
      </c>
      <c r="K23" s="68" t="s">
        <v>78</v>
      </c>
      <c r="L23" s="68" t="s">
        <v>79</v>
      </c>
      <c r="M23" s="68" t="s">
        <v>14</v>
      </c>
      <c r="N23" s="68" t="s">
        <v>16</v>
      </c>
      <c r="O23" s="68" t="s">
        <v>30</v>
      </c>
      <c r="P23" s="68" t="s">
        <v>98</v>
      </c>
      <c r="Q23" s="68" t="s">
        <v>80</v>
      </c>
      <c r="R23" s="68" t="s">
        <v>31</v>
      </c>
      <c r="S23" s="68" t="s">
        <v>38</v>
      </c>
      <c r="T23" s="68" t="s">
        <v>34</v>
      </c>
      <c r="U23" s="68" t="s">
        <v>15</v>
      </c>
      <c r="V23" s="68" t="s">
        <v>17</v>
      </c>
      <c r="W23" s="68" t="s">
        <v>81</v>
      </c>
      <c r="X23" s="68" t="s">
        <v>82</v>
      </c>
      <c r="Y23" s="68" t="s">
        <v>36</v>
      </c>
      <c r="Z23" s="68" t="s">
        <v>12</v>
      </c>
      <c r="AA23" s="68" t="s">
        <v>32</v>
      </c>
      <c r="AB23" s="68" t="s">
        <v>13</v>
      </c>
      <c r="AC23" s="68" t="s">
        <v>57</v>
      </c>
      <c r="AD23" s="68" t="s">
        <v>58</v>
      </c>
      <c r="AE23" s="68" t="s">
        <v>83</v>
      </c>
      <c r="AF23" s="68" t="s">
        <v>84</v>
      </c>
      <c r="AG23" s="68" t="s">
        <v>85</v>
      </c>
      <c r="AH23" s="68" t="s">
        <v>86</v>
      </c>
      <c r="AI23" s="68" t="s">
        <v>87</v>
      </c>
      <c r="AJ23" s="68" t="s">
        <v>88</v>
      </c>
      <c r="AK23" s="68" t="s">
        <v>89</v>
      </c>
      <c r="AL23" s="68" t="s">
        <v>90</v>
      </c>
      <c r="AM23" s="68" t="s">
        <v>91</v>
      </c>
      <c r="AN23" s="68" t="s">
        <v>92</v>
      </c>
      <c r="AO23" s="68" t="s">
        <v>93</v>
      </c>
      <c r="AP23" s="68" t="s">
        <v>94</v>
      </c>
    </row>
    <row r="24" spans="1:42">
      <c r="B24" s="68" t="s">
        <v>128</v>
      </c>
      <c r="C24" s="68" t="s">
        <v>48</v>
      </c>
      <c r="E24" s="68" t="s">
        <v>129</v>
      </c>
      <c r="K24" s="68" t="s">
        <v>130</v>
      </c>
      <c r="L24" s="68" t="s">
        <v>131</v>
      </c>
      <c r="M24" s="68" t="s">
        <v>149</v>
      </c>
      <c r="N24" s="68" t="s">
        <v>150</v>
      </c>
      <c r="O24" s="68" t="s">
        <v>151</v>
      </c>
      <c r="P24" s="68" t="s">
        <v>152</v>
      </c>
      <c r="R24" s="68" t="s">
        <v>153</v>
      </c>
      <c r="S24" s="68" t="s">
        <v>154</v>
      </c>
      <c r="T24" s="68" t="s">
        <v>155</v>
      </c>
      <c r="U24" s="68" t="s">
        <v>156</v>
      </c>
      <c r="V24" s="68" t="s">
        <v>157</v>
      </c>
      <c r="W24" s="68" t="s">
        <v>158</v>
      </c>
      <c r="X24" s="68" t="s">
        <v>159</v>
      </c>
      <c r="Y24" s="68" t="s">
        <v>160</v>
      </c>
      <c r="Z24" s="68" t="s">
        <v>161</v>
      </c>
      <c r="AA24" s="68" t="s">
        <v>162</v>
      </c>
      <c r="AB24" s="68" t="s">
        <v>163</v>
      </c>
      <c r="AC24" s="68" t="s">
        <v>164</v>
      </c>
      <c r="AD24" s="68" t="s">
        <v>165</v>
      </c>
      <c r="AE24" s="68" t="s">
        <v>166</v>
      </c>
      <c r="AF24" s="68" t="s">
        <v>165</v>
      </c>
      <c r="AG24" s="68" t="s">
        <v>96</v>
      </c>
      <c r="AH24" s="68" t="s">
        <v>167</v>
      </c>
      <c r="AI24" s="68" t="s">
        <v>95</v>
      </c>
      <c r="AJ24" s="68" t="s">
        <v>97</v>
      </c>
      <c r="AK24" s="68" t="s">
        <v>168</v>
      </c>
      <c r="AL24" s="68" t="s">
        <v>169</v>
      </c>
      <c r="AM24" s="68" t="s">
        <v>170</v>
      </c>
      <c r="AN24" s="68" t="s">
        <v>171</v>
      </c>
      <c r="AO24" s="68" t="s">
        <v>172</v>
      </c>
      <c r="AP24" s="68" t="s">
        <v>173</v>
      </c>
    </row>
    <row r="25" spans="1:42">
      <c r="B25" s="68" t="s">
        <v>132</v>
      </c>
      <c r="C25" s="68" t="s">
        <v>49</v>
      </c>
      <c r="E25" s="68" t="s">
        <v>133</v>
      </c>
      <c r="K25" s="68" t="s">
        <v>174</v>
      </c>
      <c r="L25" s="68" t="s">
        <v>175</v>
      </c>
      <c r="O25" s="68" t="s">
        <v>176</v>
      </c>
      <c r="R25" s="68" t="s">
        <v>177</v>
      </c>
      <c r="S25" s="68" t="s">
        <v>178</v>
      </c>
      <c r="T25" s="68" t="s">
        <v>179</v>
      </c>
      <c r="V25" s="68" t="s">
        <v>180</v>
      </c>
      <c r="Y25" s="68" t="s">
        <v>179</v>
      </c>
      <c r="Z25" s="68" t="s">
        <v>181</v>
      </c>
      <c r="AA25" s="68" t="s">
        <v>182</v>
      </c>
      <c r="AB25" s="68" t="s">
        <v>183</v>
      </c>
      <c r="AC25" s="68" t="s">
        <v>184</v>
      </c>
      <c r="AD25" s="68" t="s">
        <v>185</v>
      </c>
      <c r="AE25" s="68" t="s">
        <v>186</v>
      </c>
      <c r="AF25" s="68" t="s">
        <v>187</v>
      </c>
      <c r="AG25" s="68" t="s">
        <v>188</v>
      </c>
      <c r="AH25" s="68" t="s">
        <v>189</v>
      </c>
    </row>
    <row r="26" spans="1:42">
      <c r="B26" s="68" t="s">
        <v>134</v>
      </c>
      <c r="C26" s="68" t="s">
        <v>50</v>
      </c>
      <c r="E26" s="68" t="s">
        <v>135</v>
      </c>
      <c r="K26" s="68" t="s">
        <v>190</v>
      </c>
      <c r="L26" s="68" t="s">
        <v>191</v>
      </c>
      <c r="O26" s="68" t="s">
        <v>192</v>
      </c>
      <c r="R26" s="68" t="s">
        <v>193</v>
      </c>
      <c r="S26" s="68" t="s">
        <v>194</v>
      </c>
      <c r="T26" s="68" t="s">
        <v>195</v>
      </c>
      <c r="V26" s="68" t="s">
        <v>196</v>
      </c>
      <c r="Y26" s="68" t="s">
        <v>195</v>
      </c>
      <c r="Z26" s="68" t="s">
        <v>197</v>
      </c>
      <c r="AA26" s="68" t="s">
        <v>198</v>
      </c>
      <c r="AB26" s="68" t="s">
        <v>199</v>
      </c>
      <c r="AC26" s="68" t="s">
        <v>200</v>
      </c>
      <c r="AD26" s="68" t="s">
        <v>201</v>
      </c>
      <c r="AE26" s="68" t="s">
        <v>202</v>
      </c>
      <c r="AF26" s="68" t="s">
        <v>203</v>
      </c>
      <c r="AG26" s="68" t="s">
        <v>204</v>
      </c>
      <c r="AH26" s="68" t="s">
        <v>205</v>
      </c>
    </row>
    <row r="28" spans="1:42">
      <c r="AC28" s="68" t="s">
        <v>136</v>
      </c>
      <c r="AD28" s="68" t="s">
        <v>206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EFF04-94EF-4712-AB7D-53D78A426F60}">
  <dimension ref="A1:E26"/>
  <sheetViews>
    <sheetView workbookViewId="0"/>
  </sheetViews>
  <sheetFormatPr defaultRowHeight="15"/>
  <sheetData>
    <row r="1" spans="1:5">
      <c r="A1" s="68" t="s">
        <v>286</v>
      </c>
      <c r="B1" s="68" t="s">
        <v>1</v>
      </c>
      <c r="C1" s="68" t="s">
        <v>2</v>
      </c>
      <c r="D1" s="68" t="s">
        <v>3</v>
      </c>
    </row>
    <row r="2" spans="1:5">
      <c r="B2" s="68" t="s">
        <v>19</v>
      </c>
      <c r="C2" s="68" t="s">
        <v>4</v>
      </c>
    </row>
    <row r="3" spans="1:5">
      <c r="A3" s="68" t="s">
        <v>0</v>
      </c>
      <c r="B3" s="68" t="s">
        <v>5</v>
      </c>
      <c r="C3" s="68" t="s">
        <v>283</v>
      </c>
    </row>
    <row r="4" spans="1:5">
      <c r="A4" s="68" t="s">
        <v>0</v>
      </c>
      <c r="B4" s="68" t="s">
        <v>6</v>
      </c>
      <c r="C4" s="68" t="s">
        <v>284</v>
      </c>
    </row>
    <row r="5" spans="1:5">
      <c r="A5" s="68" t="s">
        <v>0</v>
      </c>
      <c r="B5" s="68" t="s">
        <v>26</v>
      </c>
      <c r="C5" s="68" t="s">
        <v>100</v>
      </c>
      <c r="D5" s="68" t="s">
        <v>101</v>
      </c>
      <c r="E5" s="68" t="s">
        <v>45</v>
      </c>
    </row>
    <row r="8" spans="1:5">
      <c r="A8" s="68" t="s">
        <v>8</v>
      </c>
      <c r="C8" s="68" t="s">
        <v>102</v>
      </c>
    </row>
    <row r="9" spans="1:5">
      <c r="A9" s="68" t="s">
        <v>9</v>
      </c>
      <c r="C9" s="68" t="s">
        <v>103</v>
      </c>
    </row>
    <row r="10" spans="1:5">
      <c r="B10" s="68" t="s">
        <v>42</v>
      </c>
      <c r="C10" s="68" t="s">
        <v>104</v>
      </c>
    </row>
    <row r="11" spans="1:5">
      <c r="B11" s="68" t="s">
        <v>39</v>
      </c>
      <c r="C11" s="68" t="s">
        <v>104</v>
      </c>
    </row>
    <row r="12" spans="1:5">
      <c r="B12" s="68" t="s">
        <v>43</v>
      </c>
      <c r="C12" s="68" t="s">
        <v>105</v>
      </c>
    </row>
    <row r="13" spans="1:5">
      <c r="B13" s="68" t="s">
        <v>44</v>
      </c>
      <c r="C13" s="68" t="s">
        <v>106</v>
      </c>
      <c r="D13" s="68" t="s">
        <v>107</v>
      </c>
    </row>
    <row r="14" spans="1:5">
      <c r="D14" s="68" t="s">
        <v>108</v>
      </c>
    </row>
    <row r="15" spans="1:5">
      <c r="D15" s="68" t="s">
        <v>282</v>
      </c>
    </row>
    <row r="23" spans="3:3">
      <c r="C23" s="68" t="s">
        <v>77</v>
      </c>
    </row>
    <row r="24" spans="3:3">
      <c r="C24" s="68" t="s">
        <v>109</v>
      </c>
    </row>
    <row r="25" spans="3:3">
      <c r="C25" s="68" t="s">
        <v>110</v>
      </c>
    </row>
    <row r="26" spans="3:3">
      <c r="C26" s="68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Option</vt:lpstr>
      <vt:lpstr>Data</vt:lpstr>
      <vt:lpstr>Sheet1</vt:lpstr>
      <vt:lpstr>Customer Code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Trainer02</dc:creator>
  <cp:lastModifiedBy>Yeong Yuen Fun</cp:lastModifiedBy>
  <dcterms:created xsi:type="dcterms:W3CDTF">2017-04-18T02:36:09Z</dcterms:created>
  <dcterms:modified xsi:type="dcterms:W3CDTF">2026-01-07T04:36:49Z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esign Mode Active">
    <vt:bool>false</vt:bool>
  </property>
  <property fmtid="{D5CDD505-2E9C-101B-9397-08002B2CF9AE}" pid="3" name="Jet Reports Function Literals">
    <vt:lpwstr>,	;	,	{	}	[@[{0}]]	1033	18441</vt:lpwstr>
  </property>
</Properties>
</file>