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"/>
    </mc:Choice>
  </mc:AlternateContent>
  <xr:revisionPtr revIDLastSave="0" documentId="8_{CAB71311-DA0F-412A-82AE-64992DABA5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2" i="2" l="1"/>
  <c r="Y32" i="2"/>
  <c r="Z31" i="2"/>
  <c r="Y31" i="2"/>
  <c r="Z30" i="2"/>
  <c r="Y30" i="2"/>
  <c r="AE32" i="2" l="1"/>
  <c r="AE29" i="2"/>
  <c r="AE28" i="2"/>
  <c r="AE27" i="2"/>
  <c r="AE26" i="2"/>
  <c r="AE25" i="2"/>
  <c r="AE24" i="2"/>
  <c r="AP32" i="2" l="1"/>
  <c r="AO32" i="2"/>
  <c r="AN32" i="2"/>
  <c r="AL32" i="2"/>
  <c r="AK32" i="2"/>
  <c r="AA32" i="2"/>
  <c r="X32" i="2"/>
  <c r="AL31" i="2"/>
  <c r="AK31" i="2"/>
  <c r="AL30" i="2"/>
  <c r="AK30" i="2"/>
  <c r="AA31" i="2"/>
  <c r="AA30" i="2"/>
  <c r="X30" i="2"/>
  <c r="X31" i="2"/>
  <c r="O32" i="2"/>
  <c r="O31" i="2"/>
  <c r="O30" i="2"/>
  <c r="T31" i="2"/>
  <c r="T30" i="2"/>
  <c r="L32" i="2"/>
  <c r="K32" i="2"/>
  <c r="L31" i="2"/>
  <c r="K31" i="2"/>
  <c r="L30" i="2"/>
  <c r="K30" i="2"/>
  <c r="S31" i="2"/>
  <c r="S30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H24" i="2"/>
  <c r="AK24" i="2"/>
  <c r="AL24" i="2"/>
  <c r="AN24" i="2"/>
  <c r="AO24" i="2"/>
  <c r="AP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H25" i="2"/>
  <c r="AK25" i="2"/>
  <c r="AL25" i="2"/>
  <c r="AN25" i="2"/>
  <c r="AO25" i="2"/>
  <c r="AP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H26" i="2"/>
  <c r="AK26" i="2"/>
  <c r="AL26" i="2"/>
  <c r="AN26" i="2"/>
  <c r="AO26" i="2"/>
  <c r="AP26" i="2"/>
  <c r="E27" i="2"/>
  <c r="K27" i="2"/>
  <c r="L27" i="2"/>
  <c r="O27" i="2"/>
  <c r="P27" i="2"/>
  <c r="R27" i="2"/>
  <c r="S27" i="2"/>
  <c r="T27" i="2"/>
  <c r="U27" i="2"/>
  <c r="X27" i="2"/>
  <c r="Y27" i="2"/>
  <c r="Z27" i="2"/>
  <c r="AA27" i="2"/>
  <c r="AH27" i="2"/>
  <c r="AK27" i="2"/>
  <c r="AL27" i="2"/>
  <c r="AN27" i="2"/>
  <c r="AO27" i="2"/>
  <c r="AP27" i="2"/>
  <c r="E28" i="2"/>
  <c r="K28" i="2"/>
  <c r="B28" i="2" s="1"/>
  <c r="L28" i="2"/>
  <c r="O28" i="2"/>
  <c r="P28" i="2"/>
  <c r="R28" i="2"/>
  <c r="S28" i="2"/>
  <c r="T28" i="2"/>
  <c r="U28" i="2"/>
  <c r="X28" i="2"/>
  <c r="Y28" i="2"/>
  <c r="Z28" i="2"/>
  <c r="AA28" i="2"/>
  <c r="AH28" i="2"/>
  <c r="AK28" i="2"/>
  <c r="AL28" i="2"/>
  <c r="AN28" i="2"/>
  <c r="AO28" i="2"/>
  <c r="AP28" i="2"/>
  <c r="E29" i="2"/>
  <c r="K29" i="2"/>
  <c r="B29" i="2" s="1"/>
  <c r="L29" i="2"/>
  <c r="O29" i="2"/>
  <c r="P29" i="2"/>
  <c r="R29" i="2"/>
  <c r="S29" i="2"/>
  <c r="T29" i="2"/>
  <c r="U29" i="2"/>
  <c r="X29" i="2"/>
  <c r="Y29" i="2"/>
  <c r="Z29" i="2"/>
  <c r="AA29" i="2"/>
  <c r="AH29" i="2"/>
  <c r="AK29" i="2"/>
  <c r="AL29" i="2"/>
  <c r="AN29" i="2"/>
  <c r="AO29" i="2"/>
  <c r="AP29" i="2"/>
  <c r="D5" i="1"/>
  <c r="B8" i="89"/>
  <c r="B7" i="89"/>
  <c r="E13" i="2"/>
  <c r="H6" i="2"/>
  <c r="H5" i="2"/>
  <c r="H4" i="2"/>
  <c r="E2" i="2"/>
  <c r="D30" i="1"/>
  <c r="D29" i="1"/>
  <c r="D14" i="1"/>
  <c r="D13" i="1"/>
  <c r="C13" i="1"/>
  <c r="E16" i="2" s="1"/>
  <c r="C12" i="1"/>
  <c r="E15" i="2" s="1"/>
  <c r="C11" i="1"/>
  <c r="E14" i="2" s="1"/>
  <c r="C10" i="1"/>
  <c r="C9" i="1"/>
  <c r="E11" i="2" s="1"/>
  <c r="C8" i="1"/>
  <c r="C5" i="1"/>
  <c r="E12" i="2" s="1"/>
  <c r="C4" i="1"/>
  <c r="C3" i="1"/>
  <c r="B26" i="2" l="1"/>
  <c r="B27" i="2"/>
  <c r="B25" i="2"/>
  <c r="D5" i="2"/>
  <c r="I6" i="2"/>
  <c r="D4" i="2"/>
  <c r="E4" i="2" s="1"/>
  <c r="D6" i="2"/>
  <c r="E6" i="2" s="1"/>
  <c r="I5" i="2"/>
  <c r="E5" i="2" l="1"/>
  <c r="B24" i="2"/>
</calcChain>
</file>

<file path=xl/sharedStrings.xml><?xml version="1.0" encoding="utf-8"?>
<sst xmlns="http://schemas.openxmlformats.org/spreadsheetml/2006/main" count="1061" uniqueCount="347">
  <si>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</si>
  <si>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</si>
  <si>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</si>
  <si>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</si>
  <si>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</si>
  <si>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</si>
  <si>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</si>
  <si>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</si>
  <si>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</si>
  <si>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</si>
  <si>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</si>
  <si>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</si>
  <si>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</si>
  <si>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</si>
  <si>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</si>
  <si>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</si>
  <si>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</si>
  <si>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</si>
  <si>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</si>
  <si>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</si>
  <si>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</si>
  <si>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</si>
  <si>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</si>
  <si>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</si>
  <si>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</si>
  <si>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</si>
  <si>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</si>
  <si>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</si>
  <si>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</si>
  <si>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</si>
  <si>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</si>
  <si>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</si>
  <si>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</si>
  <si>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</si>
  <si>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</si>
  <si>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</si>
  <si>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</si>
  <si>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</si>
  <si>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</si>
  <si>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</si>
  <si>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</si>
  <si>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</si>
  <si>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</si>
  <si>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</si>
  <si>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</si>
  <si>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</si>
  <si>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</si>
  <si>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</si>
  <si>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</si>
  <si>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</si>
  <si>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</si>
  <si>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</si>
  <si>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</si>
  <si>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</si>
  <si>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</si>
  <si>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</si>
  <si>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</si>
  <si>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</si>
  <si>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</si>
  <si>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</si>
  <si>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</si>
  <si>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</si>
  <si>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</si>
  <si>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</si>
  <si>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</si>
  <si>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</si>
  <si>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</si>
  <si>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</si>
  <si>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</si>
  <si>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</si>
  <si>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</si>
  <si>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</si>
  <si>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</si>
  <si>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</si>
  <si>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</si>
  <si>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</si>
  <si>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</si>
  <si>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</si>
  <si>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</si>
  <si>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</si>
  <si>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</si>
  <si>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</si>
  <si>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</si>
  <si>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</si>
  <si>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</si>
  <si>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</si>
  <si>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</si>
  <si>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</si>
  <si>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</si>
  <si>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</si>
  <si>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</si>
  <si>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</si>
  <si>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</si>
  <si>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</si>
  <si>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</si>
  <si>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</si>
  <si>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</si>
  <si>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</si>
  <si>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</si>
  <si>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</si>
  <si>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</si>
  <si>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</si>
  <si>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</si>
  <si>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</si>
  <si>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</si>
  <si>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</si>
  <si>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</si>
  <si>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</si>
  <si>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</si>
  <si>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</si>
  <si>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</si>
  <si>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</si>
  <si>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</si>
  <si>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</si>
  <si>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</si>
  <si>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</si>
  <si>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</si>
  <si>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</si>
  <si>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</si>
  <si>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</si>
  <si>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</si>
  <si>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</si>
  <si>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</si>
  <si>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</si>
  <si>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</si>
  <si>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</si>
  <si>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</si>
  <si>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</si>
  <si>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</si>
  <si>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</si>
  <si>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</si>
  <si>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</si>
  <si>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</si>
  <si>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</si>
  <si>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</si>
  <si>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</si>
  <si>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</si>
  <si>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</si>
  <si>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</si>
  <si>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</si>
  <si>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</si>
  <si>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</si>
  <si>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</si>
  <si>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</si>
  <si>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</si>
  <si>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</si>
  <si>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</si>
  <si>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</si>
  <si>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</si>
  <si>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</si>
  <si>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</si>
  <si>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</si>
  <si>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</si>
  <si>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</si>
  <si>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</si>
  <si>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</si>
  <si>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</si>
  <si>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</si>
  <si>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</si>
  <si>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</si>
  <si>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</si>
  <si>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</si>
  <si>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</si>
  <si>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</si>
  <si>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</si>
  <si>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</si>
  <si>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</si>
  <si>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</si>
  <si>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</si>
  <si>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</si>
  <si>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</si>
  <si>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</si>
  <si>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</si>
  <si>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</si>
  <si>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</si>
  <si>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</si>
  <si>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</si>
  <si>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</si>
  <si>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</si>
  <si>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</si>
  <si>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</si>
  <si>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</si>
  <si>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</si>
  <si>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</si>
  <si>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</si>
  <si>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</si>
  <si>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</si>
  <si>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</si>
  <si>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</si>
  <si>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</si>
  <si>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</si>
  <si>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</si>
  <si>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</si>
  <si>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</si>
  <si>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</si>
  <si>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</si>
  <si>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</si>
  <si>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</si>
  <si>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</si>
  <si>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</si>
  <si>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</si>
  <si>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</si>
  <si>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</si>
  <si>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</si>
  <si>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</si>
  <si>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</si>
  <si>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</si>
  <si>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</si>
  <si>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</si>
  <si>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</si>
  <si>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</si>
  <si>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</si>
  <si>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</si>
  <si>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</si>
  <si>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</si>
  <si>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</si>
  <si>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</si>
  <si>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</si>
  <si>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</si>
  <si>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</si>
  <si>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</si>
  <si>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</si>
  <si>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</si>
  <si>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</si>
  <si>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</si>
  <si>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</si>
  <si>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</si>
  <si>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</si>
  <si>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</si>
  <si>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</si>
  <si>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</si>
  <si>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</si>
  <si>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</si>
  <si>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</si>
  <si>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</si>
  <si>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</si>
  <si>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</si>
  <si>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</si>
  <si>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</si>
  <si>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</si>
  <si>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</si>
  <si>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</si>
  <si>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</si>
  <si>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</si>
  <si>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</si>
  <si>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</si>
  <si>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</si>
  <si>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</si>
  <si>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</si>
  <si>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</si>
  <si>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</si>
  <si>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</si>
  <si>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</si>
  <si>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</si>
  <si>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</si>
  <si>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</si>
  <si>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</si>
  <si>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</si>
  <si>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</si>
  <si>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</si>
  <si>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</si>
  <si>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</si>
  <si>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</si>
  <si>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</si>
  <si>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</si>
  <si>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</si>
  <si>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</si>
  <si>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</si>
  <si>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</si>
  <si>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</si>
  <si>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</si>
  <si>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</si>
  <si>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</si>
  <si>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</si>
  <si>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</si>
  <si>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</si>
  <si>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</si>
  <si>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</si>
  <si>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</si>
  <si>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</si>
  <si>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</si>
  <si>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</si>
  <si>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</si>
  <si>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</si>
  <si>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</si>
  <si>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</si>
  <si>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</si>
  <si>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</si>
  <si>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</si>
  <si>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</si>
  <si>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</si>
  <si>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</si>
  <si>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</si>
  <si>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</si>
  <si>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</si>
  <si>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</si>
  <si>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</si>
  <si>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</si>
  <si>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</si>
  <si>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</si>
  <si>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</si>
  <si>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</si>
  <si>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</si>
  <si>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</si>
  <si>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</si>
  <si>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</si>
  <si>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</si>
  <si>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</si>
  <si>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</si>
  <si>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</si>
  <si>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</si>
  <si>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</si>
  <si>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</si>
  <si>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</si>
  <si>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</si>
  <si>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</si>
  <si>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=IFERROR(NF($E31,"LINETOTAL"),"-")</t>
  </si>
  <si>
    <t>=IFERROR(NF($E31,"ADDRESS2"),"-")</t>
  </si>
  <si>
    <t>="01/09/2025"</t>
  </si>
  <si>
    <t>="30/09/2025"</t>
  </si>
  <si>
    <t>="""UICACS"","""",""SQL="",""2=DOCNUM"",""33040227"",""14=CUSTREF"",""8825006049"",""14=U_CUSTREF"",""8825006049"",""15=DOCDATE"",""18/9/2025"",""15=TAXDATE"",""18/9/2025"",""14=CARDCODE"",""CI1232-SGD"",""14=CARDNAME"",""SINGAPORE GENERAL HOSPITAL PTE LTD"",""14=ITEMCODE"",""MSEP2-27323GLP"","""&amp;"14=ITEMNAME"",""MS OFFICE PROFESSIONAL PLUS 2024 SLNG LTSC"",""10=QUANTITY"",""1.000000"",""14=U_PONO"",""959615"",""15=U_PODATE"",""18/9/2025"",""10=U_TLINTCOS"",""0.000000"",""2=SLPCODE"",""127"",""14=SLPNAME"",""E0001-GH"",""14=MEMO"",""MANZY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DEPARTMENT"",""10=LINETOTAL"",""580.850000"",""14=U_ENR"","""",""14=U_MSENR"",""S7138270"",""14=U_MSPCN"",""8E125DFC"",""14=ADDRESS2"",""KHOO BOON CHING_x000D_SINGAPORE GENERAL HOSPITAL ACADEMIA DIAGNOSTIC TOWER LEVEL 11, DIAGNOSTIC BATERIOLOGY SINGAPORE 169611_x000D_KHOO BOON CHING_x000D_TE"&amp;"L: _x000D_FAX: _x000D_EMAIL: khoo.boon.ching@sgh.com.sg"""</t>
  </si>
  <si>
    <t>="""UICACS"","""",""SQL="",""2=DOCNUM"",""33040229"",""14=CUSTREF"",""8825005517"",""14=U_CUSTREF"",""8825005517"",""15=DOCDATE"",""18/9/2025"",""15=TAXDATE"",""18/9/2025"",""14=CARDCODE"",""CI1232-SGD"",""14=CARDNAME"",""SINGAPORE GENERAL HOSPITAL PTE LTD"",""14=ITEMCODE"",""MSEP2-27323GLP"","""&amp;"14=ITEMNAME"",""MS OFFICE PROFESSIONAL PLUS 2024 SLNG LTSC"",""10=QUANTITY"",""14.000000"",""14=U_PONO"",""959560"",""15=U_PODATE"",""16/9/2025"",""10=U_TLINTCOS"",""0.000000"",""2=SLPCODE"",""127"",""14=SLPNAME"",""E0001-GH"",""14=MEMO"",""MANZY TOH GUAN HUI"",""14=CONTACTNAME"",""FINANC"&amp;"E DEPARTMENT"",""10=LINETOTAL"",""8219.540000"",""14=U_ENR"","""",""14=U_MSENR"",""S7138270"",""14=U_MSPCN"",""8E125DFC"",""14=ADDRESS2"",""MUHAMMAD AZMI_x000D_SINGAPORE GENERAL HOSPITAL PTE LTD SINGHEALTH TOWER BASEMENT 1 10 HOSPITAL BOULEVARD SINGAPORE 168582_x000D_MUHAMMAD AZMI_x000D_TEL: "&amp;"63265691_x000D_FAX: _x000D_EMAIL: muhammad.azmi.m.s@sgh.com.sg"""</t>
  </si>
  <si>
    <t>="""UICACS"","""",""SQL="",""2=DOCNUM"",""33040266"",""14=CUSTREF"",""8825006170"",""14=U_CUSTREF"",""8825006170"",""15=DOCDATE"",""22/9/2025"",""15=TAXDATE"",""22/9/2025"",""14=CARDCODE"",""CI1232-SGD"",""14=CARDNAME"",""SINGAPORE GENERAL HOSPITAL PTE LTD"",""14=ITEMCODE"",""MSEP2-27323GLP"","""&amp;"14=ITEMNAME"",""MS OFFICE PROFESSIONAL PLUS 2024 SLNG LTSC"",""10=QUANTITY"",""2.000000"",""14=U_PONO"",""959688"",""15=U_PODATE"",""22/9/2025"",""10=U_TLINTCOS"",""0.000000"",""2=SLPCODE"",""127"",""14=SLPNAME"",""E0001-GH"",""14=MEMO"",""MANZY TOH GUAN HUI"",""14=CONTACTNAME"",""FINANCE"&amp;" DEPARTMENT"",""10=LINETOTAL"",""1161.700000"",""14=U_ENR"","""",""14=U_MSENR"",""S7138270"",""14=U_MSPCN"",""8E125DFC"",""14=ADDRESS2"",""NG WEE CHING_x000D_SINGAPORE GENERAL HOSPITAL PTE LTD ACADEMIA DIGNOSTICS TOWER VIROLOGY 20 COLLEGE ROAD, LEVEL 12 SINGAPORE 169856_x000D_NG WEE CHI"&amp;"NG_x000D_TEL: 65767617_x000D_FAX: _x000D_EMAIL: ng.wee.ching@sgh.com.sg"""</t>
  </si>
  <si>
    <t>="""UICACS"","""",""SQL="",""2=DOCNUM"",""33040267"",""14=CUSTREF"",""8825006171"",""14=U_CUSTREF"",""8825006171"",""15=DOCDATE"",""22/9/2025"",""15=TAXDATE"",""22/9/2025"",""14=CARDCODE"",""CI1232-SGD"",""14=CARDNAME"",""SINGAPORE GENERAL HOSPITAL PTE LTD"",""14=ITEMCODE"",""MSEP2-27323GLP"","""&amp;"14=ITEMNAME"",""MS OFFICE PROFESSIONAL PLUS 2024 SLNG LTSC"",""10=QUANTITY"",""1.000000"",""14=U_PONO"",""959686"",""15=U_PODATE"",""22/9/2025"",""10=U_TLINTCOS"",""0.000000"",""2=SLPCODE"",""127"",""14=SLPNAME"",""E0001-GH"",""14=MEMO"",""MANZY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DEPARTMENT"",""10=LINETOTAL"",""580.850000"",""14=U_ENR"","""",""14=U_MSENR"",""S7138270"",""14=U_MSPCN"",""8E125DFC"",""14=ADDRESS2"",""SOH HWEE KENG_x000D_SINGAPORE GENERAL HOSPITAL PTE LTD 20 COLLEGE ROAD, LEVEL 12 MOELCULAR LABORATORY, PATHOLOGY, ACADEMIA SINGAPORE_x000D_SOH HWEE K"&amp;"ENG_x000D_TEL: 91540724_x000D_FAX: _x000D_EMAIL: soh.hwee.keng@sgh.com.sg"""</t>
  </si>
  <si>
    <t>="""UICACS"","""",""SQL="",""2=DOCNUM"",""33040297"",""14=CUSTREF"",""6725001135"",""14=U_CUSTREF"",""6725001135"",""15=DOCDATE"",""25/9/2025"",""15=TAXDATE"",""25/9/2025"",""14=CARDCODE"",""CI1256-SGD"",""14=CARDNAME"",""SINGAPORE HEALTH SERVICES PTE LTD"",""14=ITEMCODE"",""MSEP2-27380GLP"",""1"&amp;"4=ITEMNAME"",""MS OFFICE STANDARD 2024 SLNG LTSC"",""10=QUANTITY"",""3.000000"",""14=U_PONO"",""959744"",""15=U_PODATE"",""24/9/2025"",""10=U_TLINTCOS"",""0.000000"",""2=SLPCODE"",""127"",""14=SLPNAME"",""E0001-GH"",""14=MEMO"",""MANZY TOH GUAN HUI"",""14=CONTACTNAME"",""FINANCE DEPARTMEN"&amp;"T"",""10=LINETOTAL"",""1278.990000"",""14=U_ENR"","""",""14=U_MSENR"",""S7138270"",""14=U_MSPCN"",""A8AA53F5"",""14=ADDRESS2"",""AARON KOH SING SIONG_x000D_NHCS MEDICAL CENTRE, LEVEL 10 RADIOLOGICAL SCIENCES SINGHEALTH SINGAPORE_x000D_AARON KOH SING SIONG_x000D_TEL: 67048459_x000D_FAX: _x000D_EMAIL: aaro"&amp;"n.koh.s.s@singhealth.com.sg"""</t>
  </si>
  <si>
    <t>=IFERROR(NF($E30,"CONTACTNAME"),"-")</t>
  </si>
  <si>
    <t>=IFERROR(NF($E30,"U_PODATE"),"-")</t>
  </si>
  <si>
    <t>=IFERROR(AC30/W30,0)</t>
  </si>
  <si>
    <t>=IFERROR(NF($E31,"CONTACTNAME"),"-")</t>
  </si>
  <si>
    <t>=IFERROR(NF($E31,"U_PODATE"),"-")</t>
  </si>
  <si>
    <t>=IFERROR(AC31/W31,0)</t>
  </si>
  <si>
    <t>=SUBTOTAL(9,AB24:AB32)</t>
  </si>
  <si>
    <t>=SUBTOTAL(9,AC24:AC32)</t>
  </si>
  <si>
    <t>PERPETUAL LICENSE</t>
  </si>
  <si>
    <t>UIC PO NO</t>
  </si>
  <si>
    <t>A89BD94A</t>
  </si>
  <si>
    <t>CI1136-SGD</t>
  </si>
  <si>
    <t>license with SA</t>
  </si>
  <si>
    <t>01.10.2025</t>
  </si>
  <si>
    <t>31.12.2027</t>
  </si>
  <si>
    <t>Usage to start in Sep 2025</t>
  </si>
  <si>
    <t>B29CE2A2</t>
  </si>
  <si>
    <t>SAMH-2025-08-0003/PO/1</t>
  </si>
  <si>
    <t>CS0612-SGD</t>
  </si>
  <si>
    <t>ST. ANDREW'S MISSION HOSPITAL</t>
  </si>
  <si>
    <t>NATIONAL CANCER CENTRE OF SINGAPORE PTE LTD 30 HOSPITAL BOULEVARD MMD STORE SINGAPORE 168583</t>
  </si>
  <si>
    <t>ST. ANDREW'S MISSION HOSPITAL, 8 SIMEI STREET 3   SINGAPORE 529895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</si>
</sst>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11" fillId="0" borderId="0" xfId="0" applyFont="1"/>
    <xf numFmtId="166" fontId="11" fillId="0" borderId="0" xfId="0" applyNumberFormat="1" applyFont="1"/>
    <xf numFmtId="38" fontId="0" fillId="0" borderId="0" xfId="2" applyNumberFormat="1" applyFont="1" applyAlignment="1">
      <alignment horizontal="center" vertical="top"/>
    </xf>
    <xf numFmtId="0" fontId="11" fillId="0" borderId="0" xfId="0" applyFont="1" applyAlignment="1">
      <alignment horizontal="center"/>
    </xf>
    <xf numFmtId="2" fontId="0" fillId="2" borderId="0" xfId="0" applyNumberFormat="1" applyFill="1" applyAlignment="1">
      <alignment vertical="top"/>
    </xf>
    <xf numFmtId="2" fontId="0" fillId="0" borderId="0" xfId="0" applyNumberFormat="1" applyAlignment="1">
      <alignment vertical="top"/>
    </xf>
    <xf numFmtId="2" fontId="0" fillId="6" borderId="0" xfId="0" applyNumberFormat="1" applyFill="1" applyAlignment="1">
      <alignment vertical="top"/>
    </xf>
    <xf numFmtId="2" fontId="4" fillId="0" borderId="0" xfId="1" applyNumberFormat="1" applyFont="1" applyAlignment="1">
      <alignment horizontal="center" vertical="top"/>
    </xf>
    <xf numFmtId="2" fontId="7" fillId="3" borderId="0" xfId="2" applyNumberFormat="1" applyFont="1" applyFill="1" applyAlignment="1">
      <alignment horizontal="left" vertical="center"/>
    </xf>
    <xf numFmtId="2" fontId="0" fillId="0" borderId="0" xfId="2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3" fontId="8" fillId="0" borderId="0" xfId="3" applyFont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/>
    </xf>
  </cellXfs>
  <cellStyles count="4">
    <cellStyle name="Comma" xfId="3" builtinId="3"/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"01/09/2025"</f>
        <v>01/09/2025</v>
      </c>
    </row>
    <row r="4" spans="1:5">
      <c r="A4" s="1" t="s">
        <v>0</v>
      </c>
      <c r="B4" s="4" t="s">
        <v>6</v>
      </c>
      <c r="C4" s="5" t="str">
        <f>"30/09/2025"</f>
        <v>30/09/2025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01/Sept/2025..30/Sept/2025</v>
      </c>
    </row>
    <row r="9" spans="1:5">
      <c r="A9" s="1" t="s">
        <v>9</v>
      </c>
      <c r="C9" s="3" t="str">
        <f>TEXT($C$3,"yyyyMMdd") &amp; ".." &amp; TEXT($C$4,"yyyyMMdd")</f>
        <v>20250901..20250930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5"/>
  <sheetViews>
    <sheetView tabSelected="1" topLeftCell="U12" zoomScale="92" zoomScaleNormal="92" workbookViewId="0">
      <selection activeCell="Z30" sqref="Z30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85546875" style="4" bestFit="1" customWidth="1"/>
    <col min="17" max="17" width="3.85546875" style="3" customWidth="1"/>
    <col min="18" max="18" width="12" style="4" bestFit="1" customWidth="1"/>
    <col min="19" max="19" width="25.7109375" style="4" customWidth="1"/>
    <col min="20" max="20" width="14.7109375" style="4" bestFit="1" customWidth="1"/>
    <col min="21" max="21" width="14.7109375" style="4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19.42578125" style="4" customWidth="1"/>
    <col min="26" max="26" width="19.7109375" style="4" customWidth="1"/>
    <col min="27" max="27" width="23.140625" style="4" bestFit="1" customWidth="1"/>
    <col min="28" max="28" width="10.42578125" style="28" bestFit="1" customWidth="1"/>
    <col min="29" max="29" width="12.85546875" style="55" customWidth="1"/>
    <col min="30" max="30" width="11" style="4" customWidth="1"/>
    <col min="31" max="31" width="17.5703125" style="4" customWidth="1"/>
    <col min="32" max="32" width="15.85546875" style="4" customWidth="1"/>
    <col min="33" max="33" width="9.28515625" style="4"/>
    <col min="34" max="34" width="36.85546875" style="4" customWidth="1"/>
    <col min="35" max="35" width="6.42578125" style="4" customWidth="1"/>
    <col min="36" max="37" width="11.28515625" style="4" customWidth="1"/>
    <col min="38" max="38" width="52.85546875" style="4" customWidth="1"/>
    <col min="39" max="39" width="21.28515625" style="4" customWidth="1"/>
    <col min="40" max="40" width="11.42578125" style="4" customWidth="1"/>
    <col min="41" max="41" width="15.7109375" style="4" customWidth="1"/>
    <col min="42" max="42" width="18.7109375" style="4" customWidth="1"/>
    <col min="43" max="16384" width="9.28515625" style="4"/>
  </cols>
  <sheetData>
    <row r="1" spans="1:35" s="1" customFormat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54"/>
      <c r="AH1" s="1" t="s">
        <v>7</v>
      </c>
      <c r="AI1" s="1" t="s">
        <v>7</v>
      </c>
    </row>
    <row r="2" spans="1:35">
      <c r="A2" s="1" t="s">
        <v>7</v>
      </c>
      <c r="D2" s="4" t="s">
        <v>18</v>
      </c>
      <c r="E2" s="4" t="str">
        <f>Option!$C$2</f>
        <v>UICACS</v>
      </c>
    </row>
    <row r="3" spans="1:35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>
      <c r="A7" s="1" t="s">
        <v>7</v>
      </c>
    </row>
    <row r="8" spans="1:35">
      <c r="A8" s="1" t="s">
        <v>7</v>
      </c>
      <c r="K8" s="9"/>
    </row>
    <row r="9" spans="1:35">
      <c r="A9" s="1" t="s">
        <v>7</v>
      </c>
      <c r="K9" s="9"/>
    </row>
    <row r="10" spans="1:35">
      <c r="A10" s="1" t="s">
        <v>7</v>
      </c>
    </row>
    <row r="11" spans="1:35">
      <c r="A11" s="1" t="s">
        <v>7</v>
      </c>
      <c r="C11" s="4" t="s">
        <v>26</v>
      </c>
      <c r="E11" s="4" t="str">
        <f>Option!$C$9</f>
        <v>20250901..20250930</v>
      </c>
      <c r="K11" s="9"/>
    </row>
    <row r="12" spans="1:35">
      <c r="A12" s="1" t="s">
        <v>7</v>
      </c>
      <c r="C12" s="4" t="s">
        <v>27</v>
      </c>
      <c r="E12" s="4" t="str">
        <f>Option!$C$5</f>
        <v>*</v>
      </c>
      <c r="K12" s="9"/>
    </row>
    <row r="13" spans="1:35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>
      <c r="A15" s="1" t="s">
        <v>7</v>
      </c>
      <c r="C15" s="4" t="s">
        <v>38</v>
      </c>
      <c r="E15" s="4" t="str">
        <f>Option!$C$12</f>
        <v>'MS'</v>
      </c>
      <c r="Z15" s="14"/>
    </row>
    <row r="16" spans="1:35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3">
      <c r="A17" s="1" t="s">
        <v>7</v>
      </c>
    </row>
    <row r="18" spans="1:43" s="22" customFormat="1">
      <c r="A18" s="22" t="s">
        <v>7</v>
      </c>
      <c r="I18" s="23"/>
      <c r="L18" s="24"/>
      <c r="M18" s="25"/>
      <c r="Q18" s="26"/>
      <c r="W18" s="27"/>
      <c r="AB18" s="29"/>
      <c r="AC18" s="56"/>
    </row>
    <row r="20" spans="1:43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  <c r="AC20" s="57"/>
      <c r="AD20" s="18"/>
      <c r="AE20" s="18"/>
      <c r="AF20" s="18"/>
    </row>
    <row r="21" spans="1:43" ht="15.75">
      <c r="K21" s="64" t="s">
        <v>40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C21" s="57"/>
      <c r="AD21" s="18"/>
      <c r="AE21" s="18"/>
      <c r="AF21" s="18"/>
    </row>
    <row r="22" spans="1:43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  <c r="AC22" s="57"/>
      <c r="AD22" s="18"/>
      <c r="AE22" s="18"/>
      <c r="AF22" s="18"/>
    </row>
    <row r="23" spans="1:43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334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58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37" t="s">
        <v>68</v>
      </c>
      <c r="AN23" s="37" t="s">
        <v>69</v>
      </c>
      <c r="AO23" s="37" t="s">
        <v>70</v>
      </c>
      <c r="AP23" s="33" t="s">
        <v>71</v>
      </c>
    </row>
    <row r="24" spans="1:43">
      <c r="B24" s="1" t="str">
        <f>IF(K24="","Hide","Show")</f>
        <v>Show</v>
      </c>
      <c r="C24" s="4" t="s">
        <v>43</v>
      </c>
      <c r="E24" s="11" t="str">
        <f>"""UICACS"","""",""SQL="",""2=DOCNUM"",""33040121"",""14=CUSTREF"",""2825402446"",""14=U_CUSTREF"",""2825402446"",""15=DOCDATE"",""8/9/2025"",""15=TAXDATE"",""8/9/2025"",""14=CARDCODE"",""CS0507-SGD"",""14=CARDNAME"",""SENGKANG GENERAL HOSPITAL PTE. LTD."",""14=ITEMCODE"",""MS7NQ-01782GLP"",""1"&amp;"4=ITEMNAME"",""MS SQL SERVER STANDARD CORE 2022 SLNG 2L"",""10=QUANTITY"",""2.000000"",""14=U_PONO"",""959349"",""15=U_PODATE"",""4/9/2025"",""10=U_TLINTCOS"",""0.000000"",""2=SLPCODE"",""132"",""14=SLPNAME"",""E0001-CS"",""14=MEMO"",""WENDY KUM CHIOU SZE"",""14=CONTACTNAME"",""FSS ACCOUN"&amp;"TS PAYABLE"",""10=LINETOTAL"",""6825.820000"",""14=U_ENR"","""",""14=U_MSENR"",""S7138270"",""14=U_MSPCN"",""BD18AB21"",""14=ADDRESS2"",""Ili Hanisah Binte Zulkifli_x000D_Sengkang General Hospital Pte Ltd Outpatient Rehabilitation Centre, CH Podium Level 2, Physiotherapy Departmen"&amp;"t Singapore 544886_x000D_Ili Hanisah Binte Zulkifli_x000D_TEL: 6930 2987_x000D_FAX: _x000D_EMAIL: ili.hanisah.zulkifli@skh.com.sg"""</f>
        <v>"UICACS","","SQL=","2=DOCNUM","33040121","14=CUSTREF","2825402446","14=U_CUSTREF","2825402446","15=DOCDATE","8/9/2025","15=TAXDATE","8/9/2025","14=CARDCODE","CS0507-SGD","14=CARDNAME","SENGKANG GENERAL HOSPITAL PTE. LTD.","14=ITEMCODE","MS7NQ-01782GLP","14=ITEMNAME","MS SQL SERVER STANDARD CORE 2022 SLNG 2L","10=QUANTITY","2.000000","14=U_PONO","959349","15=U_PODATE","4/9/2025","10=U_TLINTCOS","0.000000","2=SLPCODE","132","14=SLPNAME","E0001-CS","14=MEMO","WENDY KUM CHIOU SZE","14=CONTACTNAME","FSS ACCOUNTS PAYABLE","10=LINETOTAL","6825.820000","14=U_ENR","","14=U_MSENR","S7138270","14=U_MSPCN","BD18AB21","14=ADDRESS2","Ili Hanisah Binte Zulkifli_x000D_Sengkang General Hospital Pte Ltd Outpatient Rehabilitation Centre, CH Podium Level 2, Physiotherapy Department Singapore 544886_x000D_Ili Hanisah Binte Zulkifli_x000D_TEL: 6930 2987_x000D_FAX: _x000D_EMAIL: ili.hanisah.zulkifli@skh.com.sg"</v>
      </c>
      <c r="K24" s="19">
        <f t="shared" ref="K24:K29" si="0">MONTH(N24)</f>
        <v>9</v>
      </c>
      <c r="L24" s="19">
        <f t="shared" ref="L24:L29" si="1">YEAR(N24)</f>
        <v>2025</v>
      </c>
      <c r="M24" s="4">
        <v>33040121</v>
      </c>
      <c r="N24" s="30">
        <v>45908</v>
      </c>
      <c r="O24" s="19" t="str">
        <f t="shared" ref="O24:O29" si="2">"S7138270"</f>
        <v>S7138270</v>
      </c>
      <c r="P24" s="19" t="str">
        <f>"BD18AB21"</f>
        <v>BD18AB21</v>
      </c>
      <c r="Q24" s="19"/>
      <c r="R24" s="19" t="str">
        <f>"CS0507-SGD"</f>
        <v>CS0507-SGD</v>
      </c>
      <c r="S24" s="4" t="str">
        <f>"SENGKANG GENERAL HOSPITAL PTE. LTD."</f>
        <v>SENGKANG GENERAL HOSPITAL PTE. LTD.</v>
      </c>
      <c r="T24" s="19" t="str">
        <f>"2825402446"</f>
        <v>2825402446</v>
      </c>
      <c r="U24" s="42" t="str">
        <f>"959349"</f>
        <v>959349</v>
      </c>
      <c r="V24" s="42">
        <v>45904</v>
      </c>
      <c r="W24" s="42">
        <v>45908</v>
      </c>
      <c r="X24" s="43">
        <f t="shared" ref="X24:X32" si="3">SUM(N24-V24)</f>
        <v>4</v>
      </c>
      <c r="Y24" s="44" t="str">
        <f>"MS7NQ-01782GLP"</f>
        <v>MS7NQ-01782GLP</v>
      </c>
      <c r="Z24" s="44" t="str">
        <f>"MS SQL SERVER STANDARD CORE 2022 SLNG 2L"</f>
        <v>MS SQL SERVER STANDARD CORE 2022 SLNG 2L</v>
      </c>
      <c r="AA24" s="44" t="str">
        <f>"WENDY KUM CHIOU SZE"</f>
        <v>WENDY KUM CHIOU SZE</v>
      </c>
      <c r="AB24" s="43">
        <v>2</v>
      </c>
      <c r="AC24" s="59">
        <v>3412.91</v>
      </c>
      <c r="AD24" s="31">
        <v>6825.82</v>
      </c>
      <c r="AE24" s="19" t="str">
        <f t="shared" ref="AE24:AE29" si="4">"-"</f>
        <v>-</v>
      </c>
      <c r="AF24" s="45">
        <v>6825.82</v>
      </c>
      <c r="AG24" s="30" t="s">
        <v>72</v>
      </c>
      <c r="AH24" s="46" t="str">
        <f>"Ili Hanisah Binte Zulkifli_x000D_Sengkang General Hospital Pte Ltd Outpatient Rehabilitation Centre, CH Podium Level 2, Physiotherapy Department Singapore 544886_x000D_Ili Hanisah Binte Zulkifli_x000D_TEL: 6930 2987_x000D_FAX: _x000D_EMAIL: ili.hanisah.zulkifli@skh.com.sg"</f>
        <v>Ili Hanisah Binte Zulkifli_x000D_Sengkang General Hospital Pte Ltd Outpatient Rehabilitation Centre, CH Podium Level 2, Physiotherapy Department Singapore 544886_x000D_Ili Hanisah Binte Zulkifli_x000D_TEL: 6930 2987_x000D_FAX: _x000D_EMAIL: ili.hanisah.zulkifli@skh.com.sg</v>
      </c>
      <c r="AI24" s="47" t="s">
        <v>73</v>
      </c>
      <c r="AJ24" s="47" t="s">
        <v>74</v>
      </c>
      <c r="AK24" s="3" t="str">
        <f>"MS7NQ-01782GLP"</f>
        <v>MS7NQ-01782GLP</v>
      </c>
      <c r="AL24" s="3" t="str">
        <f>"MS SQL SERVER STANDARD CORE 2022 SLNG 2L"</f>
        <v>MS SQL SERVER STANDARD CORE 2022 SLNG 2L</v>
      </c>
      <c r="AM24" s="3" t="s">
        <v>333</v>
      </c>
      <c r="AN24" s="19" t="str">
        <f t="shared" ref="AN24:AP29" si="5">"-"</f>
        <v>-</v>
      </c>
      <c r="AO24" s="19" t="str">
        <f t="shared" si="5"/>
        <v>-</v>
      </c>
      <c r="AP24" s="19" t="str">
        <f t="shared" si="5"/>
        <v>-</v>
      </c>
    </row>
    <row r="25" spans="1:43">
      <c r="A25" s="1" t="s">
        <v>166</v>
      </c>
      <c r="B25" s="1" t="str">
        <f t="shared" ref="B25:B29" si="6">IF(K25="","Hide","Show")</f>
        <v>Show</v>
      </c>
      <c r="C25" s="4" t="s">
        <v>43</v>
      </c>
      <c r="E25" s="11" t="str">
        <f>"""UICACS"","""",""SQL="",""2=DOCNUM"",""33040227"",""14=CUSTREF"",""8825006049"",""14=U_CUSTREF"",""8825006049"",""15=DOCDATE"",""18/9/2025"",""15=TAXDATE"",""18/9/2025"",""14=CARDCODE"",""CI1232-SGD"",""14=CARDNAME"",""SINGAPORE GENERAL HOSPITAL PTE LTD"",""14=ITEMCODE"",""MSEP2-27323GLP"","""&amp;"14=ITEMNAME"",""MS OFFICE PROFESSIONAL PLUS 2024 SLNG LTSC"",""10=QUANTITY"",""1.000000"",""14=U_PONO"",""959615"",""15=U_PODATE"",""18/9/2025"",""10=U_TLINTCOS"",""0.000000"",""2=SLPCODE"",""127"",""14=SLPNAME"",""E0001-GH"",""14=MEMO"",""MANZY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DEPARTMENT"",""10=LINETOTAL"",""580.850000"",""14=U_ENR"","""",""14=U_MSENR"",""S7138270"",""14=U_MSPCN"",""8E125DFC"",""14=ADDRESS2"",""KHOO BOON CHING_x000D_SINGAPORE GENERAL HOSPITAL ACADEMIA DIAGNOSTIC TOWER LEVEL 11, DIAGNOSTIC BATERIOLOGY SINGAPORE 169611_x000D_KHOO BOON CHING_x000D_TE"&amp;"L: _x000D_FAX: _x000D_EMAIL: khoo.boon.ching@sgh.com.sg"""</f>
        <v>"UICACS","","SQL=","2=DOCNUM","33040227","14=CUSTREF","8825006049","14=U_CUSTREF","8825006049","15=DOCDATE","18/9/2025","15=TAXDATE","18/9/2025","14=CARDCODE","CI1232-SGD","14=CARDNAME","SINGAPORE GENERAL HOSPITAL PTE LTD","14=ITEMCODE","MSEP2-27323GLP","14=ITEMNAME","MS OFFICE PROFESSIONAL PLUS 2024 SLNG LTSC","10=QUANTITY","1.000000","14=U_PONO","959615","15=U_PODATE","18/9/2025","10=U_TLINTCOS","0.000000","2=SLPCODE","127","14=SLPNAME","E0001-GH","14=MEMO","MANZY TOH GUAN HUI","14=CONTACTNAME","FINANCE DEPARTMENT","10=LINETOTAL","580.850000","14=U_ENR","","14=U_MSENR","S7138270","14=U_MSPCN","8E125DFC","14=ADDRESS2","KHOO BOON CHING_x000D_SINGAPORE GENERAL HOSPITAL ACADEMIA DIAGNOSTIC TOWER LEVEL 11, DIAGNOSTIC BATERIOLOGY SINGAPORE 169611_x000D_KHOO BOON CHING_x000D_TEL: _x000D_FAX: _x000D_EMAIL: khoo.boon.ching@sgh.com.sg"</v>
      </c>
      <c r="K25" s="19">
        <f t="shared" si="0"/>
        <v>9</v>
      </c>
      <c r="L25" s="19">
        <f t="shared" si="1"/>
        <v>2025</v>
      </c>
      <c r="M25" s="4">
        <v>33040227</v>
      </c>
      <c r="N25" s="30">
        <v>45918</v>
      </c>
      <c r="O25" s="19" t="str">
        <f t="shared" si="2"/>
        <v>S7138270</v>
      </c>
      <c r="P25" s="19" t="str">
        <f>"8E125DFC"</f>
        <v>8E125DFC</v>
      </c>
      <c r="Q25" s="19"/>
      <c r="R25" s="19" t="str">
        <f>"CI1232-SGD"</f>
        <v>CI1232-SGD</v>
      </c>
      <c r="S25" s="4" t="str">
        <f>"SINGAPORE GENERAL HOSPITAL PTE LTD"</f>
        <v>SINGAPORE GENERAL HOSPITAL PTE LTD</v>
      </c>
      <c r="T25" s="19" t="str">
        <f>"8825006049"</f>
        <v>8825006049</v>
      </c>
      <c r="U25" s="42" t="str">
        <f>"959615"</f>
        <v>959615</v>
      </c>
      <c r="V25" s="42">
        <v>45918</v>
      </c>
      <c r="W25" s="42">
        <v>45918</v>
      </c>
      <c r="X25" s="43">
        <f t="shared" si="3"/>
        <v>0</v>
      </c>
      <c r="Y25" s="44" t="str">
        <f>"MSEP2-27323GLP"</f>
        <v>MSEP2-27323GLP</v>
      </c>
      <c r="Z25" s="44" t="str">
        <f>"MS OFFICE PROFESSIONAL PLUS 2024 SLNG LTSC"</f>
        <v>MS OFFICE PROFESSIONAL PLUS 2024 SLNG LTSC</v>
      </c>
      <c r="AA25" s="44" t="str">
        <f>"MANZY TOH GUAN HUI"</f>
        <v>MANZY TOH GUAN HUI</v>
      </c>
      <c r="AB25" s="43">
        <v>1</v>
      </c>
      <c r="AC25" s="59">
        <v>580.85</v>
      </c>
      <c r="AD25" s="31">
        <v>580.85</v>
      </c>
      <c r="AE25" s="19" t="str">
        <f t="shared" si="4"/>
        <v>-</v>
      </c>
      <c r="AF25" s="45">
        <v>580.85</v>
      </c>
      <c r="AG25" s="30" t="s">
        <v>72</v>
      </c>
      <c r="AH25" s="46" t="str">
        <f>"KHOO BOON CHING_x000D_SINGAPORE GENERAL HOSPITAL ACADEMIA DIAGNOSTIC TOWER LEVEL 11, DIAGNOSTIC BATERIOLOGY SINGAPORE 169611_x000D_KHOO BOON CHING_x000D_TEL: _x000D_FAX: _x000D_EMAIL: khoo.boon.ching@sgh.com.sg"</f>
        <v>KHOO BOON CHING_x000D_SINGAPORE GENERAL HOSPITAL ACADEMIA DIAGNOSTIC TOWER LEVEL 11, DIAGNOSTIC BATERIOLOGY SINGAPORE 169611_x000D_KHOO BOON CHING_x000D_TEL: _x000D_FAX: _x000D_EMAIL: khoo.boon.ching@sgh.com.sg</v>
      </c>
      <c r="AI25" s="47" t="s">
        <v>73</v>
      </c>
      <c r="AJ25" s="47" t="s">
        <v>74</v>
      </c>
      <c r="AK25" s="3" t="str">
        <f>"MSEP2-27323GLP"</f>
        <v>MSEP2-27323GLP</v>
      </c>
      <c r="AL25" s="3" t="str">
        <f>"MS OFFICE PROFESSIONAL PLUS 2024 SLNG LTSC"</f>
        <v>MS OFFICE PROFESSIONAL PLUS 2024 SLNG LTSC</v>
      </c>
      <c r="AM25" s="3" t="s">
        <v>333</v>
      </c>
      <c r="AN25" s="19" t="str">
        <f t="shared" si="5"/>
        <v>-</v>
      </c>
      <c r="AO25" s="19" t="str">
        <f t="shared" si="5"/>
        <v>-</v>
      </c>
      <c r="AP25" s="19" t="str">
        <f t="shared" si="5"/>
        <v>-</v>
      </c>
    </row>
    <row r="26" spans="1:43">
      <c r="A26" s="1" t="s">
        <v>166</v>
      </c>
      <c r="B26" s="1" t="str">
        <f t="shared" si="6"/>
        <v>Show</v>
      </c>
      <c r="C26" s="4" t="s">
        <v>43</v>
      </c>
      <c r="E26" s="11" t="str">
        <f>"""UICACS"","""",""SQL="",""2=DOCNUM"",""33040229"",""14=CUSTREF"",""8825005517"",""14=U_CUSTREF"",""8825005517"",""15=DOCDATE"",""18/9/2025"",""15=TAXDATE"",""18/9/2025"",""14=CARDCODE"",""CI1232-SGD"",""14=CARDNAME"",""SINGAPORE GENERAL HOSPITAL PTE LTD"",""14=ITEMCODE"",""MSEP2-27323GLP"","""&amp;"14=ITEMNAME"",""MS OFFICE PROFESSIONAL PLUS 2024 SLNG LTSC"",""10=QUANTITY"",""14.000000"",""14=U_PONO"",""959560"",""15=U_PODATE"",""16/9/2025"",""10=U_TLINTCOS"",""0.000000"",""2=SLPCODE"",""127"",""14=SLPNAME"",""E0001-GH"",""14=MEMO"",""MANZY TOH GUAN HUI"",""14=CONTACTNAME"",""FINANC"&amp;"E DEPARTMENT"",""10=LINETOTAL"",""8219.540000"",""14=U_ENR"","""",""14=U_MSENR"",""S7138270"",""14=U_MSPCN"",""8E125DFC"",""14=ADDRESS2"",""MUHAMMAD AZMI_x000D_SINGAPORE GENERAL HOSPITAL PTE LTD SINGHEALTH TOWER BASEMENT 1 10 HOSPITAL BOULEVARD SINGAPORE 168582_x000D_MUHAMMAD AZMI_x000D_TEL: "&amp;"63265691_x000D_FAX: _x000D_EMAIL: muhammad.azmi.m.s@sgh.com.sg"""</f>
        <v>"UICACS","","SQL=","2=DOCNUM","33040229","14=CUSTREF","8825005517","14=U_CUSTREF","8825005517","15=DOCDATE","18/9/2025","15=TAXDATE","18/9/2025","14=CARDCODE","CI1232-SGD","14=CARDNAME","SINGAPORE GENERAL HOSPITAL PTE LTD","14=ITEMCODE","MSEP2-27323GLP","14=ITEMNAME","MS OFFICE PROFESSIONAL PLUS 2024 SLNG LTSC","10=QUANTITY","14.000000","14=U_PONO","959560","15=U_PODATE","16/9/2025","10=U_TLINTCOS","0.000000","2=SLPCODE","127","14=SLPNAME","E0001-GH","14=MEMO","MANZY TOH GUAN HUI","14=CONTACTNAME","FINANCE DEPARTMENT","10=LINETOTAL","8219.540000","14=U_ENR","","14=U_MSENR","S7138270","14=U_MSPCN","8E125DFC","14=ADDRESS2","MUHAMMAD AZMI_x000D_SINGAPORE GENERAL HOSPITAL PTE LTD SINGHEALTH TOWER BASEMENT 1 10 HOSPITAL BOULEVARD SINGAPORE 168582_x000D_MUHAMMAD AZMI_x000D_TEL: 63265691_x000D_FAX: _x000D_EMAIL: muhammad.azmi.m.s@sgh.com.sg"</v>
      </c>
      <c r="K26" s="19">
        <f t="shared" si="0"/>
        <v>9</v>
      </c>
      <c r="L26" s="19">
        <f t="shared" si="1"/>
        <v>2025</v>
      </c>
      <c r="M26" s="4">
        <v>33040229</v>
      </c>
      <c r="N26" s="30">
        <v>45918</v>
      </c>
      <c r="O26" s="19" t="str">
        <f t="shared" si="2"/>
        <v>S7138270</v>
      </c>
      <c r="P26" s="19" t="str">
        <f>"8E125DFC"</f>
        <v>8E125DFC</v>
      </c>
      <c r="Q26" s="19"/>
      <c r="R26" s="19" t="str">
        <f>"CI1232-SGD"</f>
        <v>CI1232-SGD</v>
      </c>
      <c r="S26" s="4" t="str">
        <f>"SINGAPORE GENERAL HOSPITAL PTE LTD"</f>
        <v>SINGAPORE GENERAL HOSPITAL PTE LTD</v>
      </c>
      <c r="T26" s="19" t="str">
        <f>"8825005517"</f>
        <v>8825005517</v>
      </c>
      <c r="U26" s="42" t="str">
        <f>"959560"</f>
        <v>959560</v>
      </c>
      <c r="V26" s="42">
        <v>45916</v>
      </c>
      <c r="W26" s="42">
        <v>45918</v>
      </c>
      <c r="X26" s="43">
        <f t="shared" si="3"/>
        <v>2</v>
      </c>
      <c r="Y26" s="44" t="str">
        <f>"MSEP2-27323GLP"</f>
        <v>MSEP2-27323GLP</v>
      </c>
      <c r="Z26" s="44" t="str">
        <f>"MS OFFICE PROFESSIONAL PLUS 2024 SLNG LTSC"</f>
        <v>MS OFFICE PROFESSIONAL PLUS 2024 SLNG LTSC</v>
      </c>
      <c r="AA26" s="44" t="str">
        <f>"MANZY TOH GUAN HUI"</f>
        <v>MANZY TOH GUAN HUI</v>
      </c>
      <c r="AB26" s="43">
        <v>14</v>
      </c>
      <c r="AC26" s="59">
        <v>587.11</v>
      </c>
      <c r="AD26" s="31">
        <v>8219.5400000000009</v>
      </c>
      <c r="AE26" s="19" t="str">
        <f t="shared" si="4"/>
        <v>-</v>
      </c>
      <c r="AF26" s="45">
        <v>8219.5400000000009</v>
      </c>
      <c r="AG26" s="30" t="s">
        <v>72</v>
      </c>
      <c r="AH26" s="46" t="str">
        <f>"MUHAMMAD AZMI_x000D_SINGAPORE GENERAL HOSPITAL PTE LTD SINGHEALTH TOWER BASEMENT 1 10 HOSPITAL BOULEVARD SINGAPORE 168582_x000D_MUHAMMAD AZMI_x000D_TEL: 63265691_x000D_FAX: _x000D_EMAIL: muhammad.azmi.m.s@sgh.com.sg"</f>
        <v>MUHAMMAD AZMI_x000D_SINGAPORE GENERAL HOSPITAL PTE LTD SINGHEALTH TOWER BASEMENT 1 10 HOSPITAL BOULEVARD SINGAPORE 168582_x000D_MUHAMMAD AZMI_x000D_TEL: 63265691_x000D_FAX: _x000D_EMAIL: muhammad.azmi.m.s@sgh.com.sg</v>
      </c>
      <c r="AI26" s="47" t="s">
        <v>73</v>
      </c>
      <c r="AJ26" s="47" t="s">
        <v>74</v>
      </c>
      <c r="AK26" s="3" t="str">
        <f>"MSEP2-27323GLP"</f>
        <v>MSEP2-27323GLP</v>
      </c>
      <c r="AL26" s="3" t="str">
        <f>"MS OFFICE PROFESSIONAL PLUS 2024 SLNG LTSC"</f>
        <v>MS OFFICE PROFESSIONAL PLUS 2024 SLNG LTSC</v>
      </c>
      <c r="AM26" s="3" t="s">
        <v>333</v>
      </c>
      <c r="AN26" s="19" t="str">
        <f t="shared" si="5"/>
        <v>-</v>
      </c>
      <c r="AO26" s="19" t="str">
        <f t="shared" si="5"/>
        <v>-</v>
      </c>
      <c r="AP26" s="19" t="str">
        <f t="shared" si="5"/>
        <v>-</v>
      </c>
    </row>
    <row r="27" spans="1:43">
      <c r="A27" s="1" t="s">
        <v>166</v>
      </c>
      <c r="B27" s="1" t="str">
        <f t="shared" si="6"/>
        <v>Show</v>
      </c>
      <c r="C27" s="4" t="s">
        <v>43</v>
      </c>
      <c r="E27" s="11" t="str">
        <f>"""UICACS"","""",""SQL="",""2=DOCNUM"",""33040266"",""14=CUSTREF"",""8825006170"",""14=U_CUSTREF"",""8825006170"",""15=DOCDATE"",""22/9/2025"",""15=TAXDATE"",""22/9/2025"",""14=CARDCODE"",""CI1232-SGD"",""14=CARDNAME"",""SINGAPORE GENERAL HOSPITAL PTE LTD"",""14=ITEMCODE"",""MSEP2-27323GLP"","""&amp;"14=ITEMNAME"",""MS OFFICE PROFESSIONAL PLUS 2024 SLNG LTSC"",""10=QUANTITY"",""2.000000"",""14=U_PONO"",""959688"",""15=U_PODATE"",""22/9/2025"",""10=U_TLINTCOS"",""0.000000"",""2=SLPCODE"",""127"",""14=SLPNAME"",""E0001-GH"",""14=MEMO"",""MANZY TOH GUAN HUI"",""14=CONTACTNAME"",""FINANCE"&amp;" DEPARTMENT"",""10=LINETOTAL"",""1161.700000"",""14=U_ENR"","""",""14=U_MSENR"",""S7138270"",""14=U_MSPCN"",""8E125DFC"",""14=ADDRESS2"",""NG WEE CHING_x000D_SINGAPORE GENERAL HOSPITAL PTE LTD ACADEMIA DIGNOSTICS TOWER VIROLOGY 20 COLLEGE ROAD, LEVEL 12 SINGAPORE 169856_x000D_NG WEE CHI"&amp;"NG_x000D_TEL: 65767617_x000D_FAX: _x000D_EMAIL: ng.wee.ching@sgh.com.sg"""</f>
        <v>"UICACS","","SQL=","2=DOCNUM","33040266","14=CUSTREF","8825006170","14=U_CUSTREF","8825006170","15=DOCDATE","22/9/2025","15=TAXDATE","22/9/2025","14=CARDCODE","CI1232-SGD","14=CARDNAME","SINGAPORE GENERAL HOSPITAL PTE LTD","14=ITEMCODE","MSEP2-27323GLP","14=ITEMNAME","MS OFFICE PROFESSIONAL PLUS 2024 SLNG LTSC","10=QUANTITY","2.000000","14=U_PONO","959688","15=U_PODATE","22/9/2025","10=U_TLINTCOS","0.000000","2=SLPCODE","127","14=SLPNAME","E0001-GH","14=MEMO","MANZY TOH GUAN HUI","14=CONTACTNAME","FINANCE DEPARTMENT","10=LINETOTAL","1161.700000","14=U_ENR","","14=U_MSENR","S7138270","14=U_MSPCN","8E125DFC","14=ADDRESS2","NG WEE CHING_x000D_SINGAPORE GENERAL HOSPITAL PTE LTD ACADEMIA DIGNOSTICS TOWER VIROLOGY 20 COLLEGE ROAD, LEVEL 12 SINGAPORE 169856_x000D_NG WEE CHING_x000D_TEL: 65767617_x000D_FAX: _x000D_EMAIL: ng.wee.ching@sgh.com.sg"</v>
      </c>
      <c r="K27" s="19">
        <f t="shared" si="0"/>
        <v>9</v>
      </c>
      <c r="L27" s="19">
        <f t="shared" si="1"/>
        <v>2025</v>
      </c>
      <c r="M27" s="4">
        <v>33040266</v>
      </c>
      <c r="N27" s="30">
        <v>45922</v>
      </c>
      <c r="O27" s="19" t="str">
        <f t="shared" si="2"/>
        <v>S7138270</v>
      </c>
      <c r="P27" s="19" t="str">
        <f>"8E125DFC"</f>
        <v>8E125DFC</v>
      </c>
      <c r="Q27" s="19"/>
      <c r="R27" s="19" t="str">
        <f>"CI1232-SGD"</f>
        <v>CI1232-SGD</v>
      </c>
      <c r="S27" s="4" t="str">
        <f>"SINGAPORE GENERAL HOSPITAL PTE LTD"</f>
        <v>SINGAPORE GENERAL HOSPITAL PTE LTD</v>
      </c>
      <c r="T27" s="19" t="str">
        <f>"8825006170"</f>
        <v>8825006170</v>
      </c>
      <c r="U27" s="42" t="str">
        <f>"959688"</f>
        <v>959688</v>
      </c>
      <c r="V27" s="42">
        <v>45922</v>
      </c>
      <c r="W27" s="42">
        <v>45922</v>
      </c>
      <c r="X27" s="43">
        <f t="shared" si="3"/>
        <v>0</v>
      </c>
      <c r="Y27" s="44" t="str">
        <f>"MSEP2-27323GLP"</f>
        <v>MSEP2-27323GLP</v>
      </c>
      <c r="Z27" s="44" t="str">
        <f>"MS OFFICE PROFESSIONAL PLUS 2024 SLNG LTSC"</f>
        <v>MS OFFICE PROFESSIONAL PLUS 2024 SLNG LTSC</v>
      </c>
      <c r="AA27" s="44" t="str">
        <f>"MANZY TOH GUAN HUI"</f>
        <v>MANZY TOH GUAN HUI</v>
      </c>
      <c r="AB27" s="43">
        <v>2</v>
      </c>
      <c r="AC27" s="59">
        <v>580.85</v>
      </c>
      <c r="AD27" s="31">
        <v>1161.7</v>
      </c>
      <c r="AE27" s="19" t="str">
        <f t="shared" si="4"/>
        <v>-</v>
      </c>
      <c r="AF27" s="45">
        <v>1161.7</v>
      </c>
      <c r="AG27" s="30" t="s">
        <v>72</v>
      </c>
      <c r="AH27" s="46" t="str">
        <f>"NG WEE CHING_x000D_SINGAPORE GENERAL HOSPITAL PTE LTD ACADEMIA DIGNOSTICS TOWER VIROLOGY 20 COLLEGE ROAD, LEVEL 12 SINGAPORE 169856_x000D_NG WEE CHING_x000D_TEL: 65767617_x000D_FAX: _x000D_EMAIL: ng.wee.ching@sgh.com.sg"</f>
        <v>NG WEE CHING_x000D_SINGAPORE GENERAL HOSPITAL PTE LTD ACADEMIA DIGNOSTICS TOWER VIROLOGY 20 COLLEGE ROAD, LEVEL 12 SINGAPORE 169856_x000D_NG WEE CHING_x000D_TEL: 65767617_x000D_FAX: _x000D_EMAIL: ng.wee.ching@sgh.com.sg</v>
      </c>
      <c r="AI27" s="47" t="s">
        <v>73</v>
      </c>
      <c r="AJ27" s="47" t="s">
        <v>74</v>
      </c>
      <c r="AK27" s="3" t="str">
        <f>"MSEP2-27323GLP"</f>
        <v>MSEP2-27323GLP</v>
      </c>
      <c r="AL27" s="3" t="str">
        <f>"MS OFFICE PROFESSIONAL PLUS 2024 SLNG LTSC"</f>
        <v>MS OFFICE PROFESSIONAL PLUS 2024 SLNG LTSC</v>
      </c>
      <c r="AM27" s="3" t="s">
        <v>333</v>
      </c>
      <c r="AN27" s="19" t="str">
        <f t="shared" si="5"/>
        <v>-</v>
      </c>
      <c r="AO27" s="19" t="str">
        <f t="shared" si="5"/>
        <v>-</v>
      </c>
      <c r="AP27" s="19" t="str">
        <f t="shared" si="5"/>
        <v>-</v>
      </c>
    </row>
    <row r="28" spans="1:43">
      <c r="A28" s="1" t="s">
        <v>166</v>
      </c>
      <c r="B28" s="1" t="str">
        <f t="shared" si="6"/>
        <v>Show</v>
      </c>
      <c r="C28" s="4" t="s">
        <v>43</v>
      </c>
      <c r="E28" s="11" t="str">
        <f>"""UICACS"","""",""SQL="",""2=DOCNUM"",""33040267"",""14=CUSTREF"",""8825006171"",""14=U_CUSTREF"",""8825006171"",""15=DOCDATE"",""22/9/2025"",""15=TAXDATE"",""22/9/2025"",""14=CARDCODE"",""CI1232-SGD"",""14=CARDNAME"",""SINGAPORE GENERAL HOSPITAL PTE LTD"",""14=ITEMCODE"",""MSEP2-27323GLP"","""&amp;"14=ITEMNAME"",""MS OFFICE PROFESSIONAL PLUS 2024 SLNG LTSC"",""10=QUANTITY"",""1.000000"",""14=U_PONO"",""959686"",""15=U_PODATE"",""22/9/2025"",""10=U_TLINTCOS"",""0.000000"",""2=SLPCODE"",""127"",""14=SLPNAME"",""E0001-GH"",""14=MEMO"",""MANZY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DEPARTMENT"",""10=LINETOTAL"",""580.850000"",""14=U_ENR"","""",""14=U_MSENR"",""S7138270"",""14=U_MSPCN"",""8E125DFC"",""14=ADDRESS2"",""SOH HWEE KENG_x000D_SINGAPORE GENERAL HOSPITAL PTE LTD 20 COLLEGE ROAD, LEVEL 12 MOELCULAR LABORATORY, PATHOLOGY, ACADEMIA SINGAPORE_x000D_SOH HWEE K"&amp;"ENG_x000D_TEL: 91540724_x000D_FAX: _x000D_EMAIL: soh.hwee.keng@sgh.com.sg"""</f>
        <v>"UICACS","","SQL=","2=DOCNUM","33040267","14=CUSTREF","8825006171","14=U_CUSTREF","8825006171","15=DOCDATE","22/9/2025","15=TAXDATE","22/9/2025","14=CARDCODE","CI1232-SGD","14=CARDNAME","SINGAPORE GENERAL HOSPITAL PTE LTD","14=ITEMCODE","MSEP2-27323GLP","14=ITEMNAME","MS OFFICE PROFESSIONAL PLUS 2024 SLNG LTSC","10=QUANTITY","1.000000","14=U_PONO","959686","15=U_PODATE","22/9/2025","10=U_TLINTCOS","0.000000","2=SLPCODE","127","14=SLPNAME","E0001-GH","14=MEMO","MANZY TOH GUAN HUI","14=CONTACTNAME","FINANCE DEPARTMENT","10=LINETOTAL","580.850000","14=U_ENR","","14=U_MSENR","S7138270","14=U_MSPCN","8E125DFC","14=ADDRESS2","SOH HWEE KENG_x000D_SINGAPORE GENERAL HOSPITAL PTE LTD 20 COLLEGE ROAD, LEVEL 12 MOELCULAR LABORATORY, PATHOLOGY, ACADEMIA SINGAPORE_x000D_SOH HWEE KENG_x000D_TEL: 91540724_x000D_FAX: _x000D_EMAIL: soh.hwee.keng@sgh.com.sg"</v>
      </c>
      <c r="K28" s="19">
        <f t="shared" si="0"/>
        <v>9</v>
      </c>
      <c r="L28" s="19">
        <f t="shared" si="1"/>
        <v>2025</v>
      </c>
      <c r="M28" s="4">
        <v>33040267</v>
      </c>
      <c r="N28" s="30">
        <v>45922</v>
      </c>
      <c r="O28" s="19" t="str">
        <f t="shared" si="2"/>
        <v>S7138270</v>
      </c>
      <c r="P28" s="19" t="str">
        <f>"8E125DFC"</f>
        <v>8E125DFC</v>
      </c>
      <c r="Q28" s="19"/>
      <c r="R28" s="19" t="str">
        <f>"CI1232-SGD"</f>
        <v>CI1232-SGD</v>
      </c>
      <c r="S28" s="4" t="str">
        <f>"SINGAPORE GENERAL HOSPITAL PTE LTD"</f>
        <v>SINGAPORE GENERAL HOSPITAL PTE LTD</v>
      </c>
      <c r="T28" s="19" t="str">
        <f>"8825006171"</f>
        <v>8825006171</v>
      </c>
      <c r="U28" s="42" t="str">
        <f>"959686"</f>
        <v>959686</v>
      </c>
      <c r="V28" s="42">
        <v>45922</v>
      </c>
      <c r="W28" s="42">
        <v>45922</v>
      </c>
      <c r="X28" s="43">
        <f t="shared" si="3"/>
        <v>0</v>
      </c>
      <c r="Y28" s="44" t="str">
        <f>"MSEP2-27323GLP"</f>
        <v>MSEP2-27323GLP</v>
      </c>
      <c r="Z28" s="44" t="str">
        <f>"MS OFFICE PROFESSIONAL PLUS 2024 SLNG LTSC"</f>
        <v>MS OFFICE PROFESSIONAL PLUS 2024 SLNG LTSC</v>
      </c>
      <c r="AA28" s="44" t="str">
        <f>"MANZY TOH GUAN HUI"</f>
        <v>MANZY TOH GUAN HUI</v>
      </c>
      <c r="AB28" s="43">
        <v>1</v>
      </c>
      <c r="AC28" s="59">
        <v>580.85</v>
      </c>
      <c r="AD28" s="31">
        <v>580.85</v>
      </c>
      <c r="AE28" s="19" t="str">
        <f t="shared" si="4"/>
        <v>-</v>
      </c>
      <c r="AF28" s="45">
        <v>580.85</v>
      </c>
      <c r="AG28" s="30" t="s">
        <v>72</v>
      </c>
      <c r="AH28" s="46" t="str">
        <f>"SOH HWEE KENG_x000D_SINGAPORE GENERAL HOSPITAL PTE LTD 20 COLLEGE ROAD, LEVEL 12 MOELCULAR LABORATORY, PATHOLOGY, ACADEMIA SINGAPORE_x000D_SOH HWEE KENG_x000D_TEL: 91540724_x000D_FAX: _x000D_EMAIL: soh.hwee.keng@sgh.com.sg"</f>
        <v>SOH HWEE KENG_x000D_SINGAPORE GENERAL HOSPITAL PTE LTD 20 COLLEGE ROAD, LEVEL 12 MOELCULAR LABORATORY, PATHOLOGY, ACADEMIA SINGAPORE_x000D_SOH HWEE KENG_x000D_TEL: 91540724_x000D_FAX: _x000D_EMAIL: soh.hwee.keng@sgh.com.sg</v>
      </c>
      <c r="AI28" s="47" t="s">
        <v>73</v>
      </c>
      <c r="AJ28" s="47" t="s">
        <v>74</v>
      </c>
      <c r="AK28" s="3" t="str">
        <f>"MSEP2-27323GLP"</f>
        <v>MSEP2-27323GLP</v>
      </c>
      <c r="AL28" s="3" t="str">
        <f>"MS OFFICE PROFESSIONAL PLUS 2024 SLNG LTSC"</f>
        <v>MS OFFICE PROFESSIONAL PLUS 2024 SLNG LTSC</v>
      </c>
      <c r="AM28" s="3" t="s">
        <v>333</v>
      </c>
      <c r="AN28" s="19" t="str">
        <f t="shared" si="5"/>
        <v>-</v>
      </c>
      <c r="AO28" s="19" t="str">
        <f t="shared" si="5"/>
        <v>-</v>
      </c>
      <c r="AP28" s="19" t="str">
        <f t="shared" si="5"/>
        <v>-</v>
      </c>
    </row>
    <row r="29" spans="1:43">
      <c r="A29" s="1" t="s">
        <v>166</v>
      </c>
      <c r="B29" s="1" t="str">
        <f t="shared" si="6"/>
        <v>Show</v>
      </c>
      <c r="C29" s="4" t="s">
        <v>43</v>
      </c>
      <c r="E29" s="11" t="str">
        <f>"""UICACS"","""",""SQL="",""2=DOCNUM"",""33040297"",""14=CUSTREF"",""6725001135"",""14=U_CUSTREF"",""6725001135"",""15=DOCDATE"",""25/9/2025"",""15=TAXDATE"",""25/9/2025"",""14=CARDCODE"",""CI1256-SGD"",""14=CARDNAME"",""SINGAPORE HEALTH SERVICES PTE LTD"",""14=ITEMCODE"",""MSEP2-27380GLP"",""1"&amp;"4=ITEMNAME"",""MS OFFICE STANDARD 2024 SLNG LTSC"",""10=QUANTITY"",""3.000000"",""14=U_PONO"",""959744"",""15=U_PODATE"",""24/9/2025"",""10=U_TLINTCOS"",""0.000000"",""2=SLPCODE"",""127"",""14=SLPNAME"",""E0001-GH"",""14=MEMO"",""MANZY TOH GUAN HUI"",""14=CONTACTNAME"",""FINANCE DEPARTMEN"&amp;"T"",""10=LINETOTAL"",""1278.990000"",""14=U_ENR"","""",""14=U_MSENR"",""S7138270"",""14=U_MSPCN"",""A8AA53F5"",""14=ADDRESS2"",""AARON KOH SING SIONG_x000D_NHCS MEDICAL CENTRE, LEVEL 10 RADIOLOGICAL SCIENCES SINGHEALTH SINGAPORE_x000D_AARON KOH SING SIONG_x000D_TEL: 67048459_x000D_FAX: _x000D_EMAIL: aaro"&amp;"n.koh.s.s@singhealth.com.sg"""</f>
        <v>"UICACS","","SQL=","2=DOCNUM","33040297","14=CUSTREF","6725001135","14=U_CUSTREF","6725001135","15=DOCDATE","25/9/2025","15=TAXDATE","25/9/2025","14=CARDCODE","CI1256-SGD","14=CARDNAME","SINGAPORE HEALTH SERVICES PTE LTD","14=ITEMCODE","MSEP2-27380GLP","14=ITEMNAME","MS OFFICE STANDARD 2024 SLNG LTSC","10=QUANTITY","3.000000","14=U_PONO","959744","15=U_PODATE","24/9/2025","10=U_TLINTCOS","0.000000","2=SLPCODE","127","14=SLPNAME","E0001-GH","14=MEMO","MANZY TOH GUAN HUI","14=CONTACTNAME","FINANCE DEPARTMENT","10=LINETOTAL","1278.990000","14=U_ENR","","14=U_MSENR","S7138270","14=U_MSPCN","A8AA53F5","14=ADDRESS2","AARON KOH SING SIONG_x000D_NHCS MEDICAL CENTRE, LEVEL 10 RADIOLOGICAL SCIENCES SINGHEALTH SINGAPORE_x000D_AARON KOH SING SIONG_x000D_TEL: 67048459_x000D_FAX: _x000D_EMAIL: aaron.koh.s.s@singhealth.com.sg"</v>
      </c>
      <c r="K29" s="19">
        <f t="shared" si="0"/>
        <v>9</v>
      </c>
      <c r="L29" s="19">
        <f t="shared" si="1"/>
        <v>2025</v>
      </c>
      <c r="M29" s="4">
        <v>33040297</v>
      </c>
      <c r="N29" s="30">
        <v>45925</v>
      </c>
      <c r="O29" s="19" t="str">
        <f t="shared" si="2"/>
        <v>S7138270</v>
      </c>
      <c r="P29" s="19" t="str">
        <f>"A8AA53F5"</f>
        <v>A8AA53F5</v>
      </c>
      <c r="Q29" s="19"/>
      <c r="R29" s="19" t="str">
        <f>"CI1256-SGD"</f>
        <v>CI1256-SGD</v>
      </c>
      <c r="S29" s="4" t="str">
        <f>"SINGAPORE HEALTH SERVICES PTE LTD"</f>
        <v>SINGAPORE HEALTH SERVICES PTE LTD</v>
      </c>
      <c r="T29" s="19" t="str">
        <f>"6725001135"</f>
        <v>6725001135</v>
      </c>
      <c r="U29" s="42" t="str">
        <f>"959744"</f>
        <v>959744</v>
      </c>
      <c r="V29" s="42">
        <v>45924</v>
      </c>
      <c r="W29" s="42">
        <v>45925</v>
      </c>
      <c r="X29" s="43">
        <f t="shared" si="3"/>
        <v>1</v>
      </c>
      <c r="Y29" s="44" t="str">
        <f>"MSEP2-27380GLP"</f>
        <v>MSEP2-27380GLP</v>
      </c>
      <c r="Z29" s="44" t="str">
        <f>"MS OFFICE STANDARD 2024 SLNG LTSC"</f>
        <v>MS OFFICE STANDARD 2024 SLNG LTSC</v>
      </c>
      <c r="AA29" s="44" t="str">
        <f>"MANZY TOH GUAN HUI"</f>
        <v>MANZY TOH GUAN HUI</v>
      </c>
      <c r="AB29" s="43">
        <v>3</v>
      </c>
      <c r="AC29" s="59">
        <v>426.33</v>
      </c>
      <c r="AD29" s="31">
        <v>1278.99</v>
      </c>
      <c r="AE29" s="19" t="str">
        <f t="shared" si="4"/>
        <v>-</v>
      </c>
      <c r="AF29" s="45">
        <v>1278.99</v>
      </c>
      <c r="AG29" s="30" t="s">
        <v>72</v>
      </c>
      <c r="AH29" s="46" t="str">
        <f>"AARON KOH SING SIONG_x000D_NHCS MEDICAL CENTRE, LEVEL 10 RADIOLOGICAL SCIENCES SINGHEALTH SINGAPORE_x000D_AARON KOH SING SIONG_x000D_TEL: 67048459_x000D_FAX: _x000D_EMAIL: aaron.koh.s.s@singhealth.com.sg"</f>
        <v>AARON KOH SING SIONG_x000D_NHCS MEDICAL CENTRE, LEVEL 10 RADIOLOGICAL SCIENCES SINGHEALTH SINGAPORE_x000D_AARON KOH SING SIONG_x000D_TEL: 67048459_x000D_FAX: _x000D_EMAIL: aaron.koh.s.s@singhealth.com.sg</v>
      </c>
      <c r="AI29" s="47" t="s">
        <v>73</v>
      </c>
      <c r="AJ29" s="47" t="s">
        <v>74</v>
      </c>
      <c r="AK29" s="3" t="str">
        <f>"MSEP2-27380GLP"</f>
        <v>MSEP2-27380GLP</v>
      </c>
      <c r="AL29" s="3" t="str">
        <f>"MS OFFICE STANDARD 2024 SLNG LTSC"</f>
        <v>MS OFFICE STANDARD 2024 SLNG LTSC</v>
      </c>
      <c r="AM29" s="3" t="s">
        <v>333</v>
      </c>
      <c r="AN29" s="19" t="str">
        <f t="shared" si="5"/>
        <v>-</v>
      </c>
      <c r="AO29" s="19" t="str">
        <f t="shared" si="5"/>
        <v>-</v>
      </c>
      <c r="AP29" s="19" t="str">
        <f t="shared" si="5"/>
        <v>-</v>
      </c>
    </row>
    <row r="30" spans="1:43">
      <c r="K30" s="19">
        <f t="shared" ref="K30:K32" si="7">MONTH(N30)</f>
        <v>9</v>
      </c>
      <c r="L30" s="19">
        <f t="shared" ref="L30:L32" si="8">YEAR(N30)</f>
        <v>2025</v>
      </c>
      <c r="M30" s="50">
        <v>33040075</v>
      </c>
      <c r="N30" s="14">
        <v>45903</v>
      </c>
      <c r="O30" s="19" t="str">
        <f t="shared" ref="O30:O32" si="9">"S7138270"</f>
        <v>S7138270</v>
      </c>
      <c r="P30" s="4" t="s">
        <v>335</v>
      </c>
      <c r="R30" s="4" t="s">
        <v>336</v>
      </c>
      <c r="S30" s="50" t="str">
        <f>"NATIONAL CANCER CENTRE OF SINGAPORE PTE LTD"</f>
        <v>NATIONAL CANCER CENTRE OF SINGAPORE PTE LTD</v>
      </c>
      <c r="T30" s="53" t="str">
        <f>"4630052248"</f>
        <v>4630052248</v>
      </c>
      <c r="U30" s="19">
        <v>959049</v>
      </c>
      <c r="V30" s="14">
        <v>45890</v>
      </c>
      <c r="W30" s="14">
        <v>45903</v>
      </c>
      <c r="X30" s="43">
        <f t="shared" si="3"/>
        <v>13</v>
      </c>
      <c r="Y30" s="51" t="str">
        <f>"MS7JQ-00353GLP"</f>
        <v>MS7JQ-00353GLP</v>
      </c>
      <c r="Z30" s="50" t="str">
        <f>"MS SQL SERVER ENTERPRISE CORE SLNG LSA 2L"</f>
        <v>MS SQL SERVER ENTERPRISE CORE SLNG LSA 2L</v>
      </c>
      <c r="AA30" s="44" t="str">
        <f>"WENDY KUM CHIOU SZE"</f>
        <v>WENDY KUM CHIOU SZE</v>
      </c>
      <c r="AB30" s="52">
        <v>4</v>
      </c>
      <c r="AC30" s="62">
        <v>20206.2</v>
      </c>
      <c r="AD30" s="61">
        <v>80824.800000000003</v>
      </c>
      <c r="AE30" s="63">
        <v>2</v>
      </c>
      <c r="AF30" s="61">
        <v>80824.800000000003</v>
      </c>
      <c r="AG30" s="19" t="s">
        <v>72</v>
      </c>
      <c r="AH30" s="4" t="s">
        <v>345</v>
      </c>
      <c r="AJ30" s="47" t="s">
        <v>74</v>
      </c>
      <c r="AK30" s="51" t="str">
        <f>"MS7JQ-00353GLP"</f>
        <v>MS7JQ-00353GLP</v>
      </c>
      <c r="AL30" s="50" t="str">
        <f>"MS SQL SERVER ENTERPRISE CORE SLNG LSA 2L"</f>
        <v>MS SQL SERVER ENTERPRISE CORE SLNG LSA 2L</v>
      </c>
      <c r="AM30" s="4" t="s">
        <v>337</v>
      </c>
      <c r="AN30" s="4" t="s">
        <v>338</v>
      </c>
      <c r="AO30" s="4" t="s">
        <v>339</v>
      </c>
      <c r="AP30" s="4" t="s">
        <v>340</v>
      </c>
    </row>
    <row r="31" spans="1:43">
      <c r="K31" s="19">
        <f t="shared" si="7"/>
        <v>9</v>
      </c>
      <c r="L31" s="19">
        <f t="shared" si="8"/>
        <v>2025</v>
      </c>
      <c r="M31" s="50">
        <v>33040075</v>
      </c>
      <c r="N31" s="14">
        <v>45903</v>
      </c>
      <c r="O31" s="19" t="str">
        <f t="shared" si="9"/>
        <v>S7138270</v>
      </c>
      <c r="P31" s="4" t="s">
        <v>335</v>
      </c>
      <c r="R31" s="4" t="s">
        <v>336</v>
      </c>
      <c r="S31" s="50" t="str">
        <f>"NATIONAL CANCER CENTRE OF SINGAPORE PTE LTD"</f>
        <v>NATIONAL CANCER CENTRE OF SINGAPORE PTE LTD</v>
      </c>
      <c r="T31" s="53" t="str">
        <f>"4630052248"</f>
        <v>4630052248</v>
      </c>
      <c r="U31" s="19">
        <v>959049</v>
      </c>
      <c r="V31" s="14">
        <v>45890</v>
      </c>
      <c r="W31" s="14">
        <v>45903</v>
      </c>
      <c r="X31" s="43">
        <f t="shared" si="3"/>
        <v>13</v>
      </c>
      <c r="Y31" s="51" t="str">
        <f>"MS9EA-00267GLP"</f>
        <v>MS9EA-00267GLP</v>
      </c>
      <c r="Z31" s="50" t="str">
        <f>"MS WIN SERVER DC CORE SLNG LSA 2L"</f>
        <v>MS WIN SERVER DC CORE SLNG LSA 2L</v>
      </c>
      <c r="AA31" s="44" t="str">
        <f>"WENDY KUM CHIOU SZE"</f>
        <v>WENDY KUM CHIOU SZE</v>
      </c>
      <c r="AB31" s="52">
        <v>16</v>
      </c>
      <c r="AC31" s="60">
        <v>1130.0999999999999</v>
      </c>
      <c r="AD31" s="61">
        <v>18081.599999999999</v>
      </c>
      <c r="AE31" s="63">
        <v>2</v>
      </c>
      <c r="AF31" s="61">
        <v>18081.599999999999</v>
      </c>
      <c r="AG31" s="19" t="s">
        <v>72</v>
      </c>
      <c r="AH31" s="4" t="s">
        <v>345</v>
      </c>
      <c r="AJ31" s="47" t="s">
        <v>74</v>
      </c>
      <c r="AK31" s="51" t="str">
        <f>"MS9EA-00267GLP"</f>
        <v>MS9EA-00267GLP</v>
      </c>
      <c r="AL31" s="50" t="str">
        <f>"MS WIN SERVER DC CORE SLNG LSA 2L"</f>
        <v>MS WIN SERVER DC CORE SLNG LSA 2L</v>
      </c>
      <c r="AM31" s="4" t="s">
        <v>337</v>
      </c>
      <c r="AN31" s="4" t="s">
        <v>338</v>
      </c>
      <c r="AO31" s="4" t="s">
        <v>339</v>
      </c>
      <c r="AP31" s="4" t="s">
        <v>340</v>
      </c>
    </row>
    <row r="32" spans="1:43">
      <c r="K32" s="19">
        <f t="shared" si="7"/>
        <v>9</v>
      </c>
      <c r="L32" s="19">
        <f t="shared" si="8"/>
        <v>2025</v>
      </c>
      <c r="M32" s="50">
        <v>33040174</v>
      </c>
      <c r="N32" s="14">
        <v>45915</v>
      </c>
      <c r="O32" s="19" t="str">
        <f t="shared" si="9"/>
        <v>S7138270</v>
      </c>
      <c r="P32" s="4" t="s">
        <v>341</v>
      </c>
      <c r="R32" s="4" t="s">
        <v>343</v>
      </c>
      <c r="S32" s="4" t="s">
        <v>344</v>
      </c>
      <c r="T32" s="4" t="s">
        <v>342</v>
      </c>
      <c r="U32" s="19">
        <v>959531</v>
      </c>
      <c r="V32" s="14">
        <v>45915</v>
      </c>
      <c r="W32" s="14">
        <v>45915</v>
      </c>
      <c r="X32" s="43">
        <f t="shared" si="3"/>
        <v>0</v>
      </c>
      <c r="Y32" s="51" t="str">
        <f>"MSEP2-24970GLP"</f>
        <v>MSEP2-24970GLP</v>
      </c>
      <c r="Z32" s="50" t="str">
        <f>"MS WIN SERVER STANDARD CORE 2025 SLNG 2L"</f>
        <v>MS WIN SERVER STANDARD CORE 2025 SLNG 2L</v>
      </c>
      <c r="AA32" s="44" t="str">
        <f>"WENDY KUM CHIOU SZE"</f>
        <v>WENDY KUM CHIOU SZE</v>
      </c>
      <c r="AB32" s="52">
        <v>52</v>
      </c>
      <c r="AC32" s="60">
        <v>129.31</v>
      </c>
      <c r="AD32" s="61">
        <v>6724.12</v>
      </c>
      <c r="AE32" s="19" t="str">
        <f t="shared" ref="AE32" si="10">"-"</f>
        <v>-</v>
      </c>
      <c r="AF32" s="61">
        <v>6724.12</v>
      </c>
      <c r="AG32" s="19" t="s">
        <v>72</v>
      </c>
      <c r="AH32" s="4" t="s">
        <v>346</v>
      </c>
      <c r="AJ32" s="47" t="s">
        <v>74</v>
      </c>
      <c r="AK32" s="51" t="str">
        <f>"MSEP2-24970GLP"</f>
        <v>MSEP2-24970GLP</v>
      </c>
      <c r="AL32" s="50" t="str">
        <f>"MS WIN SERVER STANDARD CORE 2025 SLNG 2L"</f>
        <v>MS WIN SERVER STANDARD CORE 2025 SLNG 2L</v>
      </c>
      <c r="AM32" s="3" t="s">
        <v>333</v>
      </c>
      <c r="AN32" s="19" t="str">
        <f t="shared" ref="AN32:AP32" si="11">"-"</f>
        <v>-</v>
      </c>
      <c r="AO32" s="19" t="str">
        <f t="shared" si="11"/>
        <v>-</v>
      </c>
      <c r="AP32" s="19" t="str">
        <f t="shared" si="11"/>
        <v>-</v>
      </c>
      <c r="AQ32" s="14"/>
    </row>
    <row r="33" spans="36:47">
      <c r="AJ33" s="47"/>
      <c r="AS33" s="14"/>
    </row>
    <row r="34" spans="36:47">
      <c r="AT34" s="14"/>
    </row>
    <row r="35" spans="36:47">
      <c r="AU35" s="14"/>
    </row>
  </sheetData>
  <sortState xmlns:xlrd2="http://schemas.microsoft.com/office/spreadsheetml/2017/richdata2" ref="K24:AF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8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318</v>
      </c>
    </row>
    <row r="4" spans="1:5">
      <c r="A4" s="49" t="s">
        <v>0</v>
      </c>
      <c r="B4" s="49" t="s">
        <v>6</v>
      </c>
      <c r="C4" s="49" t="s">
        <v>319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318</v>
      </c>
    </row>
    <row r="4" spans="1:5">
      <c r="A4" s="49" t="s">
        <v>0</v>
      </c>
      <c r="B4" s="49" t="s">
        <v>6</v>
      </c>
      <c r="C4" s="49" t="s">
        <v>319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227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228</v>
      </c>
      <c r="AC26" s="49" t="s">
        <v>163</v>
      </c>
    </row>
    <row r="28" spans="1:42">
      <c r="AB28" s="49" t="s">
        <v>164</v>
      </c>
      <c r="AC28" s="49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227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228</v>
      </c>
      <c r="AC26" s="49" t="s">
        <v>163</v>
      </c>
    </row>
    <row r="28" spans="1:42">
      <c r="AB28" s="49" t="s">
        <v>164</v>
      </c>
      <c r="AC28" s="49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FAE0-AC25-4154-AB38-A82B4487D66A}">
  <dimension ref="A1:E30"/>
  <sheetViews>
    <sheetView workbookViewId="0"/>
  </sheetViews>
  <sheetFormatPr defaultRowHeight="15"/>
  <sheetData>
    <row r="1" spans="1:5">
      <c r="A1" s="49" t="s">
        <v>168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318</v>
      </c>
    </row>
    <row r="4" spans="1:5">
      <c r="A4" s="49" t="s">
        <v>0</v>
      </c>
      <c r="B4" s="49" t="s">
        <v>6</v>
      </c>
      <c r="C4" s="49" t="s">
        <v>319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E4AA-B8F7-43D0-AF5A-475253A9E289}">
  <dimension ref="A1:AP33"/>
  <sheetViews>
    <sheetView workbookViewId="0"/>
  </sheetViews>
  <sheetFormatPr defaultRowHeight="15"/>
  <sheetData>
    <row r="1" spans="1:35">
      <c r="A1" s="49" t="s">
        <v>222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A25" s="49" t="s">
        <v>166</v>
      </c>
      <c r="B25" s="49" t="s">
        <v>130</v>
      </c>
      <c r="C25" s="49" t="s">
        <v>43</v>
      </c>
      <c r="E25" s="49" t="s">
        <v>320</v>
      </c>
      <c r="K25" s="49" t="s">
        <v>170</v>
      </c>
      <c r="L25" s="49" t="s">
        <v>171</v>
      </c>
      <c r="M25" s="49" t="s">
        <v>132</v>
      </c>
      <c r="N25" s="49" t="s">
        <v>133</v>
      </c>
      <c r="O25" s="49" t="s">
        <v>134</v>
      </c>
      <c r="P25" s="49" t="s">
        <v>172</v>
      </c>
      <c r="R25" s="49" t="s">
        <v>135</v>
      </c>
      <c r="S25" s="49" t="s">
        <v>136</v>
      </c>
      <c r="T25" s="49" t="s">
        <v>138</v>
      </c>
      <c r="U25" s="49" t="s">
        <v>145</v>
      </c>
      <c r="V25" s="49" t="s">
        <v>173</v>
      </c>
      <c r="W25" s="49" t="s">
        <v>174</v>
      </c>
      <c r="X25" s="49" t="s">
        <v>230</v>
      </c>
      <c r="Y25" s="49" t="s">
        <v>137</v>
      </c>
      <c r="Z25" s="49" t="s">
        <v>139</v>
      </c>
      <c r="AA25" s="49" t="s">
        <v>140</v>
      </c>
      <c r="AB25" s="49" t="s">
        <v>141</v>
      </c>
      <c r="AC25" s="49" t="s">
        <v>231</v>
      </c>
      <c r="AD25" s="49" t="s">
        <v>146</v>
      </c>
      <c r="AE25" s="49" t="s">
        <v>175</v>
      </c>
      <c r="AF25" s="49" t="s">
        <v>146</v>
      </c>
      <c r="AG25" s="49" t="s">
        <v>72</v>
      </c>
      <c r="AH25" s="49" t="s">
        <v>143</v>
      </c>
      <c r="AI25" s="49" t="s">
        <v>73</v>
      </c>
      <c r="AJ25" s="49" t="s">
        <v>74</v>
      </c>
      <c r="AK25" s="49" t="s">
        <v>176</v>
      </c>
      <c r="AL25" s="49" t="s">
        <v>177</v>
      </c>
      <c r="AM25" s="49" t="s">
        <v>178</v>
      </c>
      <c r="AN25" s="49" t="s">
        <v>179</v>
      </c>
      <c r="AO25" s="49" t="s">
        <v>180</v>
      </c>
      <c r="AP25" s="49" t="s">
        <v>181</v>
      </c>
    </row>
    <row r="26" spans="1:42">
      <c r="A26" s="49" t="s">
        <v>166</v>
      </c>
      <c r="B26" s="49" t="s">
        <v>147</v>
      </c>
      <c r="C26" s="49" t="s">
        <v>43</v>
      </c>
      <c r="E26" s="49" t="s">
        <v>321</v>
      </c>
      <c r="K26" s="49" t="s">
        <v>182</v>
      </c>
      <c r="L26" s="49" t="s">
        <v>183</v>
      </c>
      <c r="M26" s="49" t="s">
        <v>149</v>
      </c>
      <c r="N26" s="49" t="s">
        <v>150</v>
      </c>
      <c r="O26" s="49" t="s">
        <v>151</v>
      </c>
      <c r="P26" s="49" t="s">
        <v>184</v>
      </c>
      <c r="R26" s="49" t="s">
        <v>152</v>
      </c>
      <c r="S26" s="49" t="s">
        <v>153</v>
      </c>
      <c r="T26" s="49" t="s">
        <v>155</v>
      </c>
      <c r="U26" s="49" t="s">
        <v>162</v>
      </c>
      <c r="V26" s="49" t="s">
        <v>185</v>
      </c>
      <c r="W26" s="49" t="s">
        <v>186</v>
      </c>
      <c r="X26" s="49" t="s">
        <v>232</v>
      </c>
      <c r="Y26" s="49" t="s">
        <v>154</v>
      </c>
      <c r="Z26" s="49" t="s">
        <v>156</v>
      </c>
      <c r="AA26" s="49" t="s">
        <v>157</v>
      </c>
      <c r="AB26" s="49" t="s">
        <v>158</v>
      </c>
      <c r="AC26" s="49" t="s">
        <v>233</v>
      </c>
      <c r="AD26" s="49" t="s">
        <v>163</v>
      </c>
      <c r="AE26" s="49" t="s">
        <v>187</v>
      </c>
      <c r="AF26" s="49" t="s">
        <v>163</v>
      </c>
      <c r="AG26" s="49" t="s">
        <v>72</v>
      </c>
      <c r="AH26" s="49" t="s">
        <v>160</v>
      </c>
      <c r="AI26" s="49" t="s">
        <v>73</v>
      </c>
      <c r="AJ26" s="49" t="s">
        <v>74</v>
      </c>
      <c r="AK26" s="49" t="s">
        <v>188</v>
      </c>
      <c r="AL26" s="49" t="s">
        <v>189</v>
      </c>
      <c r="AM26" s="49" t="s">
        <v>190</v>
      </c>
      <c r="AN26" s="49" t="s">
        <v>191</v>
      </c>
      <c r="AO26" s="49" t="s">
        <v>192</v>
      </c>
      <c r="AP26" s="49" t="s">
        <v>193</v>
      </c>
    </row>
    <row r="27" spans="1:42">
      <c r="A27" s="49" t="s">
        <v>166</v>
      </c>
      <c r="B27" s="49" t="s">
        <v>194</v>
      </c>
      <c r="C27" s="49" t="s">
        <v>43</v>
      </c>
      <c r="E27" s="49" t="s">
        <v>322</v>
      </c>
      <c r="K27" s="49" t="s">
        <v>234</v>
      </c>
      <c r="L27" s="49" t="s">
        <v>235</v>
      </c>
      <c r="M27" s="49" t="s">
        <v>195</v>
      </c>
      <c r="N27" s="49" t="s">
        <v>196</v>
      </c>
      <c r="O27" s="49" t="s">
        <v>197</v>
      </c>
      <c r="P27" s="49" t="s">
        <v>236</v>
      </c>
      <c r="R27" s="49" t="s">
        <v>198</v>
      </c>
      <c r="S27" s="49" t="s">
        <v>199</v>
      </c>
      <c r="T27" s="49" t="s">
        <v>201</v>
      </c>
      <c r="U27" s="49" t="s">
        <v>206</v>
      </c>
      <c r="V27" s="49" t="s">
        <v>237</v>
      </c>
      <c r="W27" s="49" t="s">
        <v>238</v>
      </c>
      <c r="X27" s="49" t="s">
        <v>239</v>
      </c>
      <c r="Y27" s="49" t="s">
        <v>200</v>
      </c>
      <c r="Z27" s="49" t="s">
        <v>202</v>
      </c>
      <c r="AA27" s="49" t="s">
        <v>203</v>
      </c>
      <c r="AB27" s="49" t="s">
        <v>204</v>
      </c>
      <c r="AC27" s="49" t="s">
        <v>240</v>
      </c>
      <c r="AD27" s="49" t="s">
        <v>207</v>
      </c>
      <c r="AE27" s="49" t="s">
        <v>241</v>
      </c>
      <c r="AF27" s="49" t="s">
        <v>207</v>
      </c>
      <c r="AG27" s="49" t="s">
        <v>72</v>
      </c>
      <c r="AH27" s="49" t="s">
        <v>205</v>
      </c>
      <c r="AI27" s="49" t="s">
        <v>73</v>
      </c>
      <c r="AJ27" s="49" t="s">
        <v>74</v>
      </c>
      <c r="AK27" s="49" t="s">
        <v>242</v>
      </c>
      <c r="AL27" s="49" t="s">
        <v>243</v>
      </c>
      <c r="AM27" s="49" t="s">
        <v>244</v>
      </c>
      <c r="AN27" s="49" t="s">
        <v>245</v>
      </c>
      <c r="AO27" s="49" t="s">
        <v>246</v>
      </c>
      <c r="AP27" s="49" t="s">
        <v>247</v>
      </c>
    </row>
    <row r="28" spans="1:42">
      <c r="A28" s="49" t="s">
        <v>166</v>
      </c>
      <c r="B28" s="49" t="s">
        <v>208</v>
      </c>
      <c r="C28" s="49" t="s">
        <v>43</v>
      </c>
      <c r="E28" s="49" t="s">
        <v>323</v>
      </c>
      <c r="K28" s="49" t="s">
        <v>248</v>
      </c>
      <c r="L28" s="49" t="s">
        <v>249</v>
      </c>
      <c r="M28" s="49" t="s">
        <v>209</v>
      </c>
      <c r="N28" s="49" t="s">
        <v>210</v>
      </c>
      <c r="O28" s="49" t="s">
        <v>211</v>
      </c>
      <c r="P28" s="49" t="s">
        <v>250</v>
      </c>
      <c r="R28" s="49" t="s">
        <v>212</v>
      </c>
      <c r="S28" s="49" t="s">
        <v>213</v>
      </c>
      <c r="T28" s="49" t="s">
        <v>215</v>
      </c>
      <c r="U28" s="49" t="s">
        <v>220</v>
      </c>
      <c r="V28" s="49" t="s">
        <v>251</v>
      </c>
      <c r="W28" s="49" t="s">
        <v>252</v>
      </c>
      <c r="X28" s="49" t="s">
        <v>253</v>
      </c>
      <c r="Y28" s="49" t="s">
        <v>214</v>
      </c>
      <c r="Z28" s="49" t="s">
        <v>216</v>
      </c>
      <c r="AA28" s="49" t="s">
        <v>217</v>
      </c>
      <c r="AB28" s="49" t="s">
        <v>218</v>
      </c>
      <c r="AC28" s="49" t="s">
        <v>254</v>
      </c>
      <c r="AD28" s="49" t="s">
        <v>221</v>
      </c>
      <c r="AE28" s="49" t="s">
        <v>255</v>
      </c>
      <c r="AF28" s="49" t="s">
        <v>221</v>
      </c>
      <c r="AG28" s="49" t="s">
        <v>72</v>
      </c>
      <c r="AH28" s="49" t="s">
        <v>219</v>
      </c>
      <c r="AI28" s="49" t="s">
        <v>73</v>
      </c>
      <c r="AJ28" s="49" t="s">
        <v>74</v>
      </c>
      <c r="AK28" s="49" t="s">
        <v>256</v>
      </c>
      <c r="AL28" s="49" t="s">
        <v>257</v>
      </c>
      <c r="AM28" s="49" t="s">
        <v>258</v>
      </c>
      <c r="AN28" s="49" t="s">
        <v>259</v>
      </c>
      <c r="AO28" s="49" t="s">
        <v>260</v>
      </c>
      <c r="AP28" s="49" t="s">
        <v>261</v>
      </c>
    </row>
    <row r="29" spans="1:42">
      <c r="A29" s="49" t="s">
        <v>166</v>
      </c>
      <c r="B29" s="49" t="s">
        <v>262</v>
      </c>
      <c r="C29" s="49" t="s">
        <v>43</v>
      </c>
      <c r="E29" s="49" t="s">
        <v>324</v>
      </c>
      <c r="K29" s="49" t="s">
        <v>263</v>
      </c>
      <c r="L29" s="49" t="s">
        <v>264</v>
      </c>
      <c r="M29" s="49" t="s">
        <v>265</v>
      </c>
      <c r="N29" s="49" t="s">
        <v>266</v>
      </c>
      <c r="O29" s="49" t="s">
        <v>267</v>
      </c>
      <c r="P29" s="49" t="s">
        <v>268</v>
      </c>
      <c r="R29" s="49" t="s">
        <v>269</v>
      </c>
      <c r="S29" s="49" t="s">
        <v>270</v>
      </c>
      <c r="T29" s="49" t="s">
        <v>271</v>
      </c>
      <c r="U29" s="49" t="s">
        <v>272</v>
      </c>
      <c r="V29" s="49" t="s">
        <v>273</v>
      </c>
      <c r="W29" s="49" t="s">
        <v>274</v>
      </c>
      <c r="X29" s="49" t="s">
        <v>275</v>
      </c>
      <c r="Y29" s="49" t="s">
        <v>276</v>
      </c>
      <c r="Z29" s="49" t="s">
        <v>277</v>
      </c>
      <c r="AA29" s="49" t="s">
        <v>278</v>
      </c>
      <c r="AB29" s="49" t="s">
        <v>279</v>
      </c>
      <c r="AC29" s="49" t="s">
        <v>280</v>
      </c>
      <c r="AD29" s="49" t="s">
        <v>281</v>
      </c>
      <c r="AE29" s="49" t="s">
        <v>282</v>
      </c>
      <c r="AF29" s="49" t="s">
        <v>281</v>
      </c>
      <c r="AG29" s="49" t="s">
        <v>72</v>
      </c>
      <c r="AH29" s="49" t="s">
        <v>283</v>
      </c>
      <c r="AI29" s="49" t="s">
        <v>73</v>
      </c>
      <c r="AJ29" s="49" t="s">
        <v>74</v>
      </c>
      <c r="AK29" s="49" t="s">
        <v>284</v>
      </c>
      <c r="AL29" s="49" t="s">
        <v>285</v>
      </c>
      <c r="AM29" s="49" t="s">
        <v>286</v>
      </c>
      <c r="AN29" s="49" t="s">
        <v>287</v>
      </c>
      <c r="AO29" s="49" t="s">
        <v>288</v>
      </c>
      <c r="AP29" s="49" t="s">
        <v>289</v>
      </c>
    </row>
    <row r="30" spans="1:42">
      <c r="B30" s="49" t="s">
        <v>290</v>
      </c>
      <c r="C30" s="49" t="s">
        <v>44</v>
      </c>
      <c r="E30" s="49" t="s">
        <v>131</v>
      </c>
      <c r="K30" s="49" t="s">
        <v>291</v>
      </c>
      <c r="L30" s="49" t="s">
        <v>292</v>
      </c>
      <c r="M30" s="49" t="s">
        <v>293</v>
      </c>
      <c r="N30" s="49" t="s">
        <v>294</v>
      </c>
      <c r="O30" s="49" t="s">
        <v>295</v>
      </c>
      <c r="P30" s="49" t="s">
        <v>298</v>
      </c>
      <c r="Q30" s="49" t="s">
        <v>296</v>
      </c>
      <c r="S30" s="49" t="s">
        <v>298</v>
      </c>
      <c r="T30" s="49" t="s">
        <v>299</v>
      </c>
      <c r="V30" s="49" t="s">
        <v>300</v>
      </c>
      <c r="W30" s="49" t="s">
        <v>301</v>
      </c>
      <c r="X30" s="49" t="s">
        <v>325</v>
      </c>
      <c r="Y30" s="49" t="s">
        <v>303</v>
      </c>
      <c r="Z30" s="49" t="s">
        <v>326</v>
      </c>
      <c r="AA30" s="49" t="s">
        <v>297</v>
      </c>
      <c r="AB30" s="49" t="s">
        <v>327</v>
      </c>
      <c r="AC30" s="49" t="s">
        <v>302</v>
      </c>
    </row>
    <row r="31" spans="1:42">
      <c r="B31" s="49" t="s">
        <v>304</v>
      </c>
      <c r="C31" s="49" t="s">
        <v>45</v>
      </c>
      <c r="E31" s="49" t="s">
        <v>148</v>
      </c>
      <c r="K31" s="49" t="s">
        <v>305</v>
      </c>
      <c r="L31" s="49" t="s">
        <v>306</v>
      </c>
      <c r="M31" s="49" t="s">
        <v>307</v>
      </c>
      <c r="N31" s="49" t="s">
        <v>308</v>
      </c>
      <c r="O31" s="49" t="s">
        <v>309</v>
      </c>
      <c r="P31" s="49" t="s">
        <v>312</v>
      </c>
      <c r="Q31" s="49" t="s">
        <v>310</v>
      </c>
      <c r="S31" s="49" t="s">
        <v>312</v>
      </c>
      <c r="T31" s="49" t="s">
        <v>313</v>
      </c>
      <c r="V31" s="49" t="s">
        <v>314</v>
      </c>
      <c r="W31" s="49" t="s">
        <v>315</v>
      </c>
      <c r="X31" s="49" t="s">
        <v>328</v>
      </c>
      <c r="Y31" s="49" t="s">
        <v>317</v>
      </c>
      <c r="Z31" s="49" t="s">
        <v>329</v>
      </c>
      <c r="AA31" s="49" t="s">
        <v>311</v>
      </c>
      <c r="AB31" s="49" t="s">
        <v>330</v>
      </c>
      <c r="AC31" s="49" t="s">
        <v>316</v>
      </c>
    </row>
    <row r="33" spans="28:29">
      <c r="AB33" s="49" t="s">
        <v>331</v>
      </c>
      <c r="AC33" s="49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2025-10-06T03:12:05Z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