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YUENFUN\XLS\SHS MONTHLY REPORT\2025\"/>
    </mc:Choice>
  </mc:AlternateContent>
  <xr:revisionPtr revIDLastSave="0" documentId="13_ncr:1_{A100C4D1-E6B5-486E-B15B-1CB2DA76E09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30" i="2" l="1"/>
  <c r="AE31" i="2"/>
  <c r="AE32" i="2"/>
  <c r="AP32" i="2"/>
  <c r="AO32" i="2"/>
  <c r="AN32" i="2"/>
  <c r="AH32" i="2"/>
  <c r="AA32" i="2"/>
  <c r="O32" i="2"/>
  <c r="L32" i="2"/>
  <c r="K32" i="2"/>
  <c r="AL32" i="2"/>
  <c r="AK32" i="2"/>
  <c r="S32" i="2"/>
  <c r="R32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K24" i="2"/>
  <c r="AL24" i="2"/>
  <c r="AN24" i="2"/>
  <c r="AO24" i="2"/>
  <c r="AP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E25" i="2"/>
  <c r="AH25" i="2"/>
  <c r="AK25" i="2"/>
  <c r="AL25" i="2"/>
  <c r="AN25" i="2"/>
  <c r="AO25" i="2"/>
  <c r="AP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C26" i="2"/>
  <c r="AE26" i="2"/>
  <c r="AH26" i="2"/>
  <c r="AK26" i="2"/>
  <c r="AL26" i="2"/>
  <c r="AN26" i="2"/>
  <c r="AO26" i="2"/>
  <c r="AP26" i="2"/>
  <c r="E27" i="2"/>
  <c r="K27" i="2"/>
  <c r="L27" i="2"/>
  <c r="O27" i="2"/>
  <c r="P27" i="2"/>
  <c r="R27" i="2"/>
  <c r="S27" i="2"/>
  <c r="T27" i="2"/>
  <c r="X27" i="2"/>
  <c r="Y27" i="2"/>
  <c r="Z27" i="2"/>
  <c r="AA27" i="2"/>
  <c r="AC27" i="2"/>
  <c r="AE27" i="2"/>
  <c r="AH27" i="2"/>
  <c r="AK27" i="2"/>
  <c r="AL27" i="2"/>
  <c r="AN27" i="2"/>
  <c r="AO27" i="2"/>
  <c r="AP27" i="2"/>
  <c r="E28" i="2"/>
  <c r="K28" i="2"/>
  <c r="L28" i="2"/>
  <c r="O28" i="2"/>
  <c r="P28" i="2"/>
  <c r="R28" i="2"/>
  <c r="S28" i="2"/>
  <c r="T28" i="2"/>
  <c r="U28" i="2"/>
  <c r="X28" i="2"/>
  <c r="Y28" i="2"/>
  <c r="Z28" i="2"/>
  <c r="AA28" i="2"/>
  <c r="AC28" i="2"/>
  <c r="AE28" i="2"/>
  <c r="AH28" i="2"/>
  <c r="AK28" i="2"/>
  <c r="AL28" i="2"/>
  <c r="AN28" i="2"/>
  <c r="AO28" i="2"/>
  <c r="AP28" i="2"/>
  <c r="E29" i="2"/>
  <c r="K29" i="2"/>
  <c r="L29" i="2"/>
  <c r="O29" i="2"/>
  <c r="P29" i="2"/>
  <c r="R29" i="2"/>
  <c r="S29" i="2"/>
  <c r="T29" i="2"/>
  <c r="U29" i="2"/>
  <c r="X29" i="2"/>
  <c r="Y29" i="2"/>
  <c r="Z29" i="2"/>
  <c r="AA29" i="2"/>
  <c r="AC29" i="2"/>
  <c r="AE29" i="2"/>
  <c r="AH29" i="2"/>
  <c r="AK29" i="2"/>
  <c r="AL29" i="2"/>
  <c r="AN29" i="2"/>
  <c r="AO29" i="2"/>
  <c r="AP29" i="2"/>
  <c r="E30" i="2"/>
  <c r="K30" i="2"/>
  <c r="L30" i="2"/>
  <c r="M30" i="2"/>
  <c r="N30" i="2"/>
  <c r="O30" i="2"/>
  <c r="P30" i="2"/>
  <c r="Q30" i="2"/>
  <c r="S30" i="2"/>
  <c r="T30" i="2"/>
  <c r="V30" i="2"/>
  <c r="W30" i="2"/>
  <c r="X30" i="2"/>
  <c r="Y30" i="2"/>
  <c r="Z30" i="2"/>
  <c r="AA30" i="2"/>
  <c r="AB30" i="2"/>
  <c r="AC30" i="2"/>
  <c r="E31" i="2"/>
  <c r="K31" i="2"/>
  <c r="L31" i="2"/>
  <c r="M31" i="2"/>
  <c r="N31" i="2"/>
  <c r="O31" i="2"/>
  <c r="P31" i="2"/>
  <c r="Q31" i="2"/>
  <c r="S31" i="2"/>
  <c r="T31" i="2"/>
  <c r="V31" i="2"/>
  <c r="W31" i="2"/>
  <c r="AB31" i="2" s="1"/>
  <c r="X31" i="2"/>
  <c r="Y31" i="2"/>
  <c r="Z31" i="2"/>
  <c r="AA31" i="2"/>
  <c r="AC31" i="2"/>
  <c r="D5" i="1"/>
  <c r="B8" i="89"/>
  <c r="B7" i="89"/>
  <c r="E13" i="2"/>
  <c r="H6" i="2"/>
  <c r="H5" i="2"/>
  <c r="H4" i="2"/>
  <c r="E2" i="2"/>
  <c r="D30" i="1"/>
  <c r="D29" i="1"/>
  <c r="D14" i="1"/>
  <c r="D13" i="1"/>
  <c r="C13" i="1"/>
  <c r="E16" i="2" s="1"/>
  <c r="C12" i="1"/>
  <c r="E15" i="2" s="1"/>
  <c r="C11" i="1"/>
  <c r="E14" i="2" s="1"/>
  <c r="C10" i="1"/>
  <c r="C5" i="1"/>
  <c r="E12" i="2" s="1"/>
  <c r="C4" i="1"/>
  <c r="C3" i="1"/>
  <c r="C8" i="1" s="1"/>
  <c r="B25" i="2" l="1"/>
  <c r="B27" i="2"/>
  <c r="B29" i="2"/>
  <c r="B28" i="2"/>
  <c r="B26" i="2"/>
  <c r="D5" i="2"/>
  <c r="I6" i="2"/>
  <c r="C9" i="1"/>
  <c r="E11" i="2" s="1"/>
  <c r="I5" i="2"/>
  <c r="D6" i="2"/>
  <c r="D4" i="2"/>
  <c r="E4" i="2" s="1"/>
  <c r="E5" i="2" l="1"/>
  <c r="B30" i="2"/>
  <c r="E6" i="2"/>
  <c r="B24" i="2" l="1"/>
  <c r="B31" i="2"/>
</calcChain>
</file>

<file path=xl/sharedStrings.xml><?xml version="1.0" encoding="utf-8"?>
<sst xmlns="http://schemas.openxmlformats.org/spreadsheetml/2006/main" count="1047" uniqueCount="338">
  <si>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</si>
  <si>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</si>
  <si>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</si>
  <si>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</si>
  <si>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</si>
  <si>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</si>
  <si>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</si>
  <si>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</si>
  <si>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</si>
  <si>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</si>
  <si>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</si>
  <si>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</si>
  <si>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</si>
  <si>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</si>
  <si>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</si>
  <si>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</si>
  <si>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</si>
  <si>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</si>
  <si>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</si>
  <si>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</si>
  <si>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</si>
  <si>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</si>
  <si>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</si>
  <si>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</si>
  <si>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</si>
  <si>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</si>
  <si>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</si>
  <si>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</si>
  <si>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</si>
  <si>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</si>
  <si>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</si>
  <si>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</si>
  <si>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</si>
  <si>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</si>
  <si>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</si>
  <si>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</si>
  <si>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</si>
  <si>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</si>
  <si>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</si>
  <si>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</si>
  <si>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</si>
  <si>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</si>
  <si>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</si>
  <si>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</si>
  <si>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</si>
  <si>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</si>
  <si>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</si>
  <si>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</si>
  <si>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</si>
  <si>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</si>
  <si>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</si>
  <si>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</si>
  <si>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</si>
  <si>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</si>
  <si>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</si>
  <si>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</si>
  <si>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</si>
  <si>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</si>
  <si>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</si>
  <si>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</si>
  <si>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</si>
  <si>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</si>
  <si>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</si>
  <si>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</si>
  <si>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</si>
  <si>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</si>
  <si>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</si>
  <si>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</si>
  <si>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</si>
  <si>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</si>
  <si>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</si>
  <si>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</si>
  <si>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</si>
  <si>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</si>
  <si>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</si>
  <si>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</si>
  <si>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</si>
  <si>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</si>
  <si>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</si>
  <si>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</si>
  <si>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</si>
  <si>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</si>
  <si>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</si>
  <si>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</si>
  <si>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</si>
  <si>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</si>
  <si>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</si>
  <si>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</si>
  <si>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</si>
  <si>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</si>
  <si>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</si>
  <si>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</si>
  <si>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</si>
  <si>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</si>
  <si>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</si>
  <si>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</si>
  <si>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</si>
  <si>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</si>
  <si>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</si>
  <si>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</si>
  <si>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</si>
  <si>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</si>
  <si>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</si>
  <si>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</si>
  <si>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</si>
  <si>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</si>
  <si>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</si>
  <si>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</si>
  <si>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</si>
  <si>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</si>
  <si>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</si>
  <si>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</si>
  <si>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</si>
  <si>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</si>
  <si>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</si>
  <si>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</si>
  <si>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</si>
  <si>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</si>
  <si>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</si>
  <si>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</si>
  <si>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</si>
  <si>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</si>
  <si>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</si>
  <si>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</si>
  <si>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</si>
  <si>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</si>
  <si>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</si>
  <si>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</si>
  <si>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</si>
  <si>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</si>
  <si>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</si>
  <si>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</si>
  <si>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</si>
  <si>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</si>
  <si>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</si>
  <si>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</si>
  <si>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</si>
  <si>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</si>
  <si>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</si>
  <si>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</si>
  <si>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</si>
  <si>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</si>
  <si>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</si>
  <si>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</si>
  <si>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</si>
  <si>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</si>
  <si>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</si>
  <si>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</si>
  <si>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</si>
  <si>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</si>
  <si>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</si>
  <si>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</si>
  <si>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</si>
  <si>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</si>
  <si>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</si>
  <si>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</si>
  <si>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</si>
  <si>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</si>
  <si>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</si>
  <si>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</si>
  <si>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</si>
  <si>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</si>
  <si>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</si>
  <si>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</si>
  <si>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</si>
  <si>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</si>
  <si>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</si>
  <si>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</si>
  <si>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</si>
  <si>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</si>
  <si>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</si>
  <si>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</si>
  <si>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</si>
  <si>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</si>
  <si>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</si>
  <si>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</si>
  <si>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</si>
  <si>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</si>
  <si>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</si>
  <si>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</si>
  <si>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</si>
  <si>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</si>
  <si>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</si>
  <si>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</si>
  <si>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</si>
  <si>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</si>
  <si>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</si>
  <si>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</si>
  <si>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</si>
  <si>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</si>
  <si>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</si>
  <si>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</si>
  <si>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</si>
  <si>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</si>
  <si>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</si>
  <si>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</si>
  <si>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</si>
  <si>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</si>
  <si>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</si>
  <si>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</si>
  <si>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</si>
  <si>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</si>
  <si>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</si>
  <si>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</si>
  <si>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</si>
  <si>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</si>
  <si>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</si>
  <si>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</si>
  <si>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</si>
  <si>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</si>
  <si>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</si>
  <si>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</si>
  <si>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</si>
  <si>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</si>
  <si>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</si>
  <si>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=IFERROR(NF($E28,"U_CUSTREF"),"-")</t>
  </si>
  <si>
    <t>=IFERROR(NF($E28,"ITEMNAME"),"-")</t>
  </si>
  <si>
    <t>=IFERROR(NF($E28,"MEMO"),"-")</t>
  </si>
  <si>
    <t>=IFERROR(NF($E28,"QUANTITY"),"-")</t>
  </si>
  <si>
    <t>=IFERROR(NF($E28,"ADDRESS2"),"-")</t>
  </si>
  <si>
    <t>=IFERROR(NF($E28,"U_PONO"),"-")</t>
  </si>
  <si>
    <t>=IFERROR(NF($E28,"LINETOTAL"),"-")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</si>
  <si>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</si>
  <si>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</si>
  <si>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</si>
  <si>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</si>
  <si>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</si>
  <si>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</si>
  <si>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</si>
  <si>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</si>
  <si>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</si>
  <si>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</si>
  <si>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=SUM(N26-V26)</t>
  </si>
  <si>
    <t>=IFERROR(AD26/AB26,0)</t>
  </si>
  <si>
    <t>=MONTH(N27)</t>
  </si>
  <si>
    <t>=YEAR(N27)</t>
  </si>
  <si>
    <t>=IFERROR(NF($E27,"U_MSPCN"),"-")</t>
  </si>
  <si>
    <t>=IFERROR(NF($E27,"U_PODate"),"-")</t>
  </si>
  <si>
    <t>=IFERROR(NF($E27,"DOCdate"),"-")</t>
  </si>
  <si>
    <t>=SUM(N27-V27)</t>
  </si>
  <si>
    <t>=IFERROR(AD27/AB27,0)</t>
  </si>
  <si>
    <t>=IFERROR(NF($E27,"U_BPurDisc"),"-")</t>
  </si>
  <si>
    <t>=IFERROR(NF($E27,"ItemCode"),"-")</t>
  </si>
  <si>
    <t>=IFERROR(NF($E27,"ItemName"),"-")</t>
  </si>
  <si>
    <t>=IFERROR(NF($E27,"U_SWSub"),"-")</t>
  </si>
  <si>
    <t>=IFERROR(NF($E27,"U_LicComDt"),"-")</t>
  </si>
  <si>
    <t>=IFERROR(NF($E27,"U_LicEndDt"),"-")</t>
  </si>
  <si>
    <t>=IFERROR(NF($E27,"Comments"),"-")</t>
  </si>
  <si>
    <t>=MONTH(N28)</t>
  </si>
  <si>
    <t>=YEAR(N28)</t>
  </si>
  <si>
    <t>=IFERROR(NF($E28,"U_MSPCN"),"-")</t>
  </si>
  <si>
    <t>=IFERROR(NF($E28,"U_PODate"),"-")</t>
  </si>
  <si>
    <t>=IFERROR(NF($E28,"DOCdate"),"-")</t>
  </si>
  <si>
    <t>=SUM(N28-V28)</t>
  </si>
  <si>
    <t>=IFERROR(AD28/AB28,0)</t>
  </si>
  <si>
    <t>=IFERROR(NF($E28,"U_BPurDisc"),"-")</t>
  </si>
  <si>
    <t>=IFERROR(NF($E28,"ItemCode"),"-")</t>
  </si>
  <si>
    <t>=IFERROR(NF($E28,"ItemName"),"-")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</si>
  <si>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</si>
  <si>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</si>
  <si>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</si>
  <si>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</si>
  <si>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</si>
  <si>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</si>
  <si>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</si>
  <si>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</si>
  <si>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</si>
  <si>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</si>
  <si>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</si>
  <si>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</si>
  <si>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</si>
  <si>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</si>
  <si>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=IFERROR(NF($E29,"U_PONO"),"-")</t>
  </si>
  <si>
    <t>=IFERROR(NF($E29,"U_PODate"),"-")</t>
  </si>
  <si>
    <t>=IFERROR(NF($E29,"DOCdate"),"-")</t>
  </si>
  <si>
    <t>=SUM(N29-V29)</t>
  </si>
  <si>
    <t>=IFERROR(NF($E29,"ITEMCODE"),"-")</t>
  </si>
  <si>
    <t>=IFERROR(NF($E29,"ITEMNAME"),"-")</t>
  </si>
  <si>
    <t>=IFERROR(NF($E29,"MEMO"),"-")</t>
  </si>
  <si>
    <t>=IFERROR(NF($E29,"QUANTITY"),"-")</t>
  </si>
  <si>
    <t>=IFERROR(AD29/AB29,0)</t>
  </si>
  <si>
    <t>=IFERROR(NF($E29,"LINETOTAL"),"-")</t>
  </si>
  <si>
    <t>=IFERROR(NF($E29,"U_BPurDisc"),"-")</t>
  </si>
  <si>
    <t>=IFERROR(NF($E29,"ADDRESS2"),"-")</t>
  </si>
  <si>
    <t>=IFERROR(NF($E29,"ItemCode"),"-")</t>
  </si>
  <si>
    <t>=IFERROR(NF($E29,"ItemName"),"-")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</si>
  <si>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</si>
  <si>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</si>
  <si>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</si>
  <si>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</si>
  <si>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</si>
  <si>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</si>
  <si>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</si>
  <si>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</si>
  <si>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</si>
  <si>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</si>
  <si>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=IFERROR(NF($E30,"U_CUSTREF"),"-")</t>
  </si>
  <si>
    <t>=IFERROR(NF($E30,"U_PONO"),"-")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</si>
  <si>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</si>
  <si>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</si>
  <si>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</si>
  <si>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</si>
  <si>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=IFERROR(NF($E30,"LINETOTAL"),"-")</t>
  </si>
  <si>
    <t>=IFERROR(NF($E30,"ADDRESS2"),"-")</t>
  </si>
  <si>
    <t>=IF(K31="","Hide","Show")</t>
  </si>
  <si>
    <t>=IFERROR(NF($E31,"DOCNUM"),"-")</t>
  </si>
  <si>
    <t>=IFERROR(NF($E31,"DOCDATE"),"-")</t>
  </si>
  <si>
    <t>=IFERROR(NF($E31,"U_MSENR"),"-")</t>
  </si>
  <si>
    <t>=IFERROR(NF($E31,"CARDCODE"),"-")</t>
  </si>
  <si>
    <t>=IFERROR(NF($E31,"CARDNAME"),"-")</t>
  </si>
  <si>
    <t>=IFERROR(NF($E31,"U_CUSTREF"),"-")</t>
  </si>
  <si>
    <t>=IFERROR(NF($E31,"U_PONO"),"-")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</si>
  <si>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</si>
  <si>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</si>
  <si>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</si>
  <si>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</si>
  <si>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=IFERROR(NF($E31,"LINETOTAL"),"-")</t>
  </si>
  <si>
    <t>=IFERROR(NF($E31,"ADDRESS2"),"-")</t>
  </si>
  <si>
    <t>="01/08/2025"</t>
  </si>
  <si>
    <t>="31/08/2025"</t>
  </si>
  <si>
    <t>="""UICACS"","""",""SQL="",""2=DOCNUM"",""33039738"",""14=CUSTREF"",""4280000534"",""14=U_CUSTREF"",""4280000534"",""15=DOCDATE"",""11/8/2025"",""15=TAXDATE"",""11/8/2025"",""14=CARDCODE"",""CI1261-SGD"",""14=CARDNAME"",""CHANGI GENERAL HOSPITAL PTE LTD"",""14=ITEMCODE"",""MSEP2-27380GLP"",""14="&amp;"ITEMNAME"",""MS OFFICE STANDARD 2024 SLNG LTSC"",""10=QUANTITY"",""6.000000"",""14=U_PONO"",""958773"",""15=U_PODATE"",""8/8/2025"",""10=U_TLINTCOS"",""0.000000"",""2=SLPCODE"",""132"",""14=SLPNAME"",""E0001-CS"",""14=MEMO"",""WENDY KUM CHIOU SZE"",""14=CONTACTNAME"",""E-INVOICE"",""10=LINE"&amp;"TOTAL"",""2566.980000"",""14=U_ENR"","""",""14=U_MSENR"",""S7138270"",""14=U_MSPCN"",""83288253"",""14=ADDRESS2"",""SUPPLY CHAIN- INVENTORY RECEIVING SECTION_x000D_CHANGI GENERAL HOSPITAL 2 SIMEI ST 3, BASEMENT 1, SINGAPORE 529889_x000D_RAMESH_x000D_TEL: 6850 4766/ 6587 7423_x000D_FAX: _x000D_EMAIL: ra"&amp;"mesh.s.jamal@ihis.com.sg"""</t>
  </si>
  <si>
    <t>="""UICACS"","""",""SQL="",""2=DOCNUM"",""33039809"",""14=CUSTREF"",""7225400360"",""14=U_CUSTREF"",""7225400360"",""15=DOCDATE"",""18/8/2025"",""15=TAXDATE"",""18/8/2025"",""14=CARDCODE"",""CI1190-SGD"",""14=CARDNAME"",""SINGAPORE NATIONAL EYE CENTRE PTE LTD"",""14=ITEMCODE"",""MSEP2-27380GLP"&amp;""",""14=ITEMNAME"",""MS OFFICE STANDARD 2024 SLNG LTSC"",""10=QUANTITY"",""1.000000"",""14=U_PONO"",""958909"",""15=U_PODATE"",""15/8/2025"",""10=U_TLINTCOS"",""0.000000"",""2=SLPCODE"",""127"",""14=SLPNAME"",""E0001-GH"",""14=MEMO"",""MANZY TOH GUAN HUI"",""14=CONTACTNAME"",""ACCOUNTS DEPT"&amp;""",""10=LINETOTAL"",""430.920000"",""14=U_ENR"","""",""14=U_MSENR"",""S7138270"",""14=U_MSPCN"",""A8AA53F5"",""14=ADDRESS2"",""REGINE GOH_x000D_SINGAPORE NATIONAL EYE CENTRE PTE LTD BOWYER BLOCK C, 11 THIRD HOSPITAL AVENUE LEVEL 2 SINGAPORE 168751_x000D_REGINE GOH_x000D_TEL: _x000D_FAX: _x000D_EMAIL: reg"&amp;"ine.goh.h.y@snec.com.sg"""</t>
  </si>
  <si>
    <t>="""UICACS"","""",""SQL="",""2=DOCNUM"",""33039909"",""14=CUSTREF"",""4280000549"",""14=U_CUSTREF"",""4280000549"",""15=DOCDATE"",""21/8/2025"",""15=TAXDATE"",""21/8/2025"",""14=CARDCODE"",""CI1261-SGD"",""14=CARDNAME"",""CHANGI GENERAL HOSPITAL PTE LTD"",""14=ITEMCODE"",""MSEP2-27380GLP"",""14="&amp;"ITEMNAME"",""MS OFFICE STANDARD 2024 SLNG LTSC"",""10=QUANTITY"",""2.000000"",""14=U_PONO"","""",""15=U_PODATE"",""20/8/2025"",""10=U_TLINTCOS"",""0.000000"",""2=SLPCODE"",""127"",""14=SLPNAME"",""E0001-GH"",""14=MEMO"",""MANZY TOH GUAN HUI"",""14=CONTACTNAME"",""E-INVOICE"",""10=LINETOTAL"""&amp;",""852.660000"",""14=U_ENR"","""",""14=U_MSENR"",""S7138270"",""14=U_MSPCN"",""83288253"",""14=ADDRESS2"",""ZAYAR AUNG_x000D_CHANGI GENERAL HOSPITAL PTE LTD 2 SIMEI STREET 3 MC LEVEL 9 SINGAPORE_x000D_ZAYAR AUNG_x000D_TEL: 97392597_x000D_FAX: _x000D_EMAIL: zayar.aung@synapxe.sg"""</t>
  </si>
  <si>
    <t>="""UICACS"","""",""SQL="",""2=DOCNUM"",""33039971"",""14=CUSTREF"",""4280000569"",""14=U_CUSTREF"",""4280000569"",""15=DOCDATE"",""26/8/2025"",""15=TAXDATE"",""26/8/2025"",""14=CARDCODE"",""CI1261-SGD"",""14=CARDNAME"",""CHANGI GENERAL HOSPITAL PTE LTD"",""14=ITEMCODE"",""MSEP2-27380GLP"",""14="&amp;"ITEMNAME"",""MS OFFICE STANDARD 2024 SLNG LTSC"",""10=QUANTITY"",""7.000000"",""14=U_PONO"",""959101"",""15=U_PODATE"",""25/8/2025"",""10=U_TLINTCOS"",""0.000000"",""2=SLPCODE"",""127"",""14=SLPNAME"",""E0001-GH"",""14=MEMO"",""MANZY TOH GUAN HUI"",""14=CONTACTNAME"",""E-INVOICE"",""10=LINE"&amp;"TOTAL"",""2994.810000"",""14=U_ENR"","""",""14=U_MSENR"",""S7138270"",""14=U_MSPCN"",""83288253"",""14=ADDRESS2"",""BERNARD CHUA_x000D_CHANGI GENERAL HOSPITAL PTE LTD 2 SIMEI STREET 3  SINGAPORE 529889_x000D_BERNARD CHUA_x000D_TEL: _x000D_FAX: _x000D_EMAIL: bernard.chua@synapxe.sg"""</t>
  </si>
  <si>
    <t>="""UICACS"","""",""SQL="",""2=DOCNUM"",""33040041"",""14=CUSTREF"",""4280000568"",""14=U_CUSTREF"",""4280000568"",""15=DOCDATE"",""29/8/2025"",""15=TAXDATE"",""29/8/2025"",""14=CARDCODE"",""CI1261-SGD"",""14=CARDNAME"",""CHANGI GENERAL HOSPITAL PTE LTD"",""14=ITEMCODE"",""MSEP2-27380GLP"",""14="&amp;"ITEMNAME"",""MS OFFICE STANDARD 2024 SLNG LTSC"",""10=QUANTITY"",""6.000000"",""14=U_PONO"",""959086"",""15=U_PODATE"",""22/8/2025"",""10=U_TLINTCOS"",""0.000000"",""2=SLPCODE"",""127"",""14=SLPNAME"",""E0001-GH"",""14=MEMO"",""MANZY TOH GUAN HUI"",""14=CONTACTNAME"",""E-INVOICE"",""10=LINE"&amp;"TOTAL"",""2566.980000"",""14=U_ENR"","""",""14=U_MSENR"",""S7138270"",""14=U_MSPCN"",""83288253"",""14=ADDRESS2"",""BERNARD CHUA_x000D_CHANGI GENERAL HOSPITAL PTE LTD 2 SIMEI STREET 3  SINGAPORE 529889_x000D_BERNARD CHUA_x000D_TEL: _x000D_FAX: _x000D_EMAIL: bernard.chua@synapxe.sg"""</t>
  </si>
  <si>
    <t>=IFERROR(NF($E30,"CONTACTNAME"),"-")</t>
  </si>
  <si>
    <t>=IFERROR(NF($E30,"U_PODATE"),"-")</t>
  </si>
  <si>
    <t>=IFERROR(AC30/W30,0)</t>
  </si>
  <si>
    <t>=IFERROR(NF($E31,"CONTACTNAME"),"-")</t>
  </si>
  <si>
    <t>=IFERROR(NF($E31,"U_PODATE"),"-")</t>
  </si>
  <si>
    <t>=IFERROR(AC31/W31,0)</t>
  </si>
  <si>
    <t>=SUBTOTAL(9,AB24:AB32)</t>
  </si>
  <si>
    <t>=SUBTOTAL(9,AC24:AC32)</t>
  </si>
  <si>
    <t>UIC PO NO</t>
  </si>
  <si>
    <t>PERPETUAL LICENSE</t>
  </si>
  <si>
    <t>959016A</t>
  </si>
  <si>
    <t>SAMH-2025-08-0002/PO/1</t>
  </si>
  <si>
    <t>B29CE2A2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</si>
</sst>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left" vertical="center"/>
    </xf>
    <xf numFmtId="165" fontId="7" fillId="3" borderId="0" xfId="2" applyNumberFormat="1" applyFont="1" applyFill="1" applyAlignment="1">
      <alignment horizontal="left" vertical="center" wrapText="1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40" fontId="8" fillId="0" borderId="0" xfId="2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4" fillId="0" borderId="0" xfId="1" applyFont="1" applyAlignment="1">
      <alignment horizontal="center" vertical="top"/>
    </xf>
    <xf numFmtId="0" fontId="11" fillId="0" borderId="0" xfId="0" applyFont="1"/>
    <xf numFmtId="166" fontId="11" fillId="0" borderId="0" xfId="0" applyNumberFormat="1" applyFont="1"/>
    <xf numFmtId="165" fontId="0" fillId="2" borderId="0" xfId="0" applyNumberFormat="1" applyFill="1" applyAlignment="1">
      <alignment vertical="top"/>
    </xf>
    <xf numFmtId="4" fontId="0" fillId="0" borderId="0" xfId="0" applyNumberFormat="1" applyAlignment="1">
      <alignment vertical="top"/>
    </xf>
    <xf numFmtId="0" fontId="8" fillId="0" borderId="0" xfId="0" applyFont="1" applyAlignment="1">
      <alignment horizontal="center" vertical="top"/>
    </xf>
    <xf numFmtId="38" fontId="0" fillId="0" borderId="0" xfId="2" applyNumberFormat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"01/08/2025"</f>
        <v>01/08/2025</v>
      </c>
    </row>
    <row r="4" spans="1:5">
      <c r="A4" s="1" t="s">
        <v>0</v>
      </c>
      <c r="B4" s="4" t="s">
        <v>6</v>
      </c>
      <c r="C4" s="5" t="str">
        <f>"31/08/2025"</f>
        <v>31/08/2025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01/Aug/2025..31/Aug/2025</v>
      </c>
    </row>
    <row r="9" spans="1:5">
      <c r="A9" s="1" t="s">
        <v>9</v>
      </c>
      <c r="C9" s="3" t="str">
        <f>TEXT($C$3,"yyyyMMdd") &amp; ".." &amp; TEXT($C$4,"yyyyMMdd")</f>
        <v>20250801..20250831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8"/>
  <sheetViews>
    <sheetView tabSelected="1" topLeftCell="K19" zoomScale="92" zoomScaleNormal="92" workbookViewId="0">
      <selection activeCell="AE38" sqref="AE38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9.85546875" style="4" bestFit="1" customWidth="1"/>
    <col min="17" max="17" width="6.28515625" style="3" customWidth="1"/>
    <col min="18" max="18" width="12" style="4" bestFit="1" customWidth="1"/>
    <col min="19" max="19" width="41.85546875" style="4" customWidth="1"/>
    <col min="20" max="20" width="14.7109375" style="4" bestFit="1" customWidth="1"/>
    <col min="21" max="21" width="14.7109375" style="4" customWidth="1"/>
    <col min="22" max="22" width="10.5703125" style="4" bestFit="1" customWidth="1"/>
    <col min="23" max="23" width="10.28515625" style="17" bestFit="1" customWidth="1"/>
    <col min="24" max="24" width="8.5703125" style="4" bestFit="1" customWidth="1"/>
    <col min="25" max="25" width="23" style="4" hidden="1" customWidth="1"/>
    <col min="26" max="26" width="10.7109375" style="4" hidden="1" customWidth="1"/>
    <col min="27" max="27" width="23.140625" style="4" bestFit="1" customWidth="1"/>
    <col min="28" max="28" width="10.42578125" style="28" bestFit="1" customWidth="1"/>
    <col min="29" max="29" width="13.85546875" style="28" bestFit="1" customWidth="1"/>
    <col min="30" max="30" width="9.7109375" style="4" bestFit="1" customWidth="1"/>
    <col min="31" max="31" width="9.28515625" style="4"/>
    <col min="32" max="32" width="10.5703125" style="4" bestFit="1" customWidth="1"/>
    <col min="33" max="33" width="9.28515625" style="4"/>
    <col min="34" max="35" width="9.28515625" style="4" hidden="1" customWidth="1"/>
    <col min="36" max="37" width="11.28515625" style="4" customWidth="1"/>
    <col min="38" max="38" width="33.5703125" style="4" customWidth="1"/>
    <col min="39" max="39" width="21.7109375" style="4" customWidth="1"/>
    <col min="40" max="40" width="11.42578125" style="4" customWidth="1"/>
    <col min="41" max="16384" width="9.28515625" style="4"/>
  </cols>
  <sheetData>
    <row r="1" spans="1:35" s="1" customFormat="1" hidden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C1" s="53" t="s">
        <v>17</v>
      </c>
      <c r="AH1" s="1" t="s">
        <v>7</v>
      </c>
      <c r="AI1" s="1" t="s">
        <v>7</v>
      </c>
    </row>
    <row r="2" spans="1:35" hidden="1">
      <c r="A2" s="1" t="s">
        <v>7</v>
      </c>
      <c r="D2" s="4" t="s">
        <v>18</v>
      </c>
      <c r="E2" s="4" t="str">
        <f>Option!$C$2</f>
        <v>UICACS</v>
      </c>
    </row>
    <row r="3" spans="1:35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5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5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5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5" hidden="1">
      <c r="A7" s="1" t="s">
        <v>7</v>
      </c>
    </row>
    <row r="8" spans="1:35" hidden="1">
      <c r="A8" s="1" t="s">
        <v>7</v>
      </c>
      <c r="K8" s="9"/>
    </row>
    <row r="9" spans="1:35" hidden="1">
      <c r="A9" s="1" t="s">
        <v>7</v>
      </c>
      <c r="K9" s="9"/>
    </row>
    <row r="10" spans="1:35" hidden="1">
      <c r="A10" s="1" t="s">
        <v>7</v>
      </c>
    </row>
    <row r="11" spans="1:35" hidden="1">
      <c r="A11" s="1" t="s">
        <v>7</v>
      </c>
      <c r="C11" s="4" t="s">
        <v>26</v>
      </c>
      <c r="E11" s="4" t="str">
        <f>Option!$C$9</f>
        <v>20250801..20250831</v>
      </c>
      <c r="K11" s="9"/>
    </row>
    <row r="12" spans="1:35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5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5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5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5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3" hidden="1">
      <c r="A17" s="1" t="s">
        <v>7</v>
      </c>
    </row>
    <row r="18" spans="1:43" s="22" customFormat="1" hidden="1">
      <c r="A18" s="22" t="s">
        <v>7</v>
      </c>
      <c r="I18" s="23"/>
      <c r="L18" s="24"/>
      <c r="M18" s="25"/>
      <c r="Q18" s="26"/>
      <c r="W18" s="27"/>
      <c r="AB18" s="29"/>
      <c r="AC18" s="29"/>
    </row>
    <row r="20" spans="1:43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3" ht="15.75">
      <c r="K21" s="50" t="s">
        <v>40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1:43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3" ht="78.75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333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39" t="s">
        <v>49</v>
      </c>
      <c r="AD23" s="39" t="s">
        <v>50</v>
      </c>
      <c r="AE23" s="40" t="s">
        <v>60</v>
      </c>
      <c r="AF23" s="41" t="s">
        <v>61</v>
      </c>
      <c r="AG23" s="41" t="s">
        <v>62</v>
      </c>
      <c r="AH23" s="41" t="s">
        <v>63</v>
      </c>
      <c r="AI23" s="37" t="s">
        <v>64</v>
      </c>
      <c r="AJ23" s="37" t="s">
        <v>65</v>
      </c>
      <c r="AK23" s="37" t="s">
        <v>66</v>
      </c>
      <c r="AL23" s="37" t="s">
        <v>67</v>
      </c>
      <c r="AM23" s="37" t="s">
        <v>68</v>
      </c>
      <c r="AN23" s="37" t="s">
        <v>69</v>
      </c>
      <c r="AO23" s="37" t="s">
        <v>70</v>
      </c>
      <c r="AP23" s="33" t="s">
        <v>71</v>
      </c>
    </row>
    <row r="24" spans="1:43">
      <c r="B24" s="1" t="str">
        <f>IF(K24="","Hide","Show")</f>
        <v>Show</v>
      </c>
      <c r="C24" s="4" t="s">
        <v>43</v>
      </c>
      <c r="E24" s="11" t="str">
        <f>"""UICACS"","""",""SQL="",""2=DOCNUM"",""33039736"",""14=CUSTREF"",""4280000533"",""14=U_CUSTREF"",""4280000533"",""15=DOCDATE"",""11/8/2025"",""15=TAXDATE"",""11/8/2025"",""14=CARDCODE"",""CI1261-SGD"",""14=CARDNAME"",""CHANGI GENERAL HOSPITAL PTE LTD"",""14=ITEMCODE"",""MSEP2-27476GLP"",""14="&amp;"ITEMNAME"",""MS VISIO STANDARD 2024 SLNG LTSC"",""10=QUANTITY"",""1.000000"",""14=U_PONO"",""958774"",""15=U_PODATE"",""8/8/2025"",""10=U_TLINTCOS"",""0.000000"",""2=SLPCODE"",""132"",""14=SLPNAME"",""E0001-CS"",""14=MEMO"",""WENDY KUM CHIOU SZE"",""14=CONTACTNAME"",""E-INVOICE"",""10=LINET"&amp;"OTAL"",""276.850000"",""14=U_ENR"","""",""14=U_MSENR"",""S7138270"",""14=U_MSPCN"",""83288253"",""14=ADDRESS2"",""ANGELINE LEONG WAI LENG_x000D_CHANGI GENERAL HOSPITAL 5 TAMPINES CENTRAL 1, TAMPINES PLAZA, #06-01, SINGAPORE 529889_x000D_ANGELINE LEONG WAI LENG_x000D_TEL: 86002597_x000D_FAX: _x000D_EMAI"&amp;"L: angeline.leong.w.l@singhealth.com.sg"""</f>
        <v>"UICACS","","SQL=","2=DOCNUM","33039736","14=CUSTREF","4280000533","14=U_CUSTREF","4280000533","15=DOCDATE","11/8/2025","15=TAXDATE","11/8/2025","14=CARDCODE","CI1261-SGD","14=CARDNAME","CHANGI GENERAL HOSPITAL PTE LTD","14=ITEMCODE","MSEP2-27476GLP","14=ITEMNAME","MS VISIO STANDARD 2024 SLNG LTSC","10=QUANTITY","1.000000","14=U_PONO","958774","15=U_PODATE","8/8/2025","10=U_TLINTCOS","0.000000","2=SLPCODE","132","14=SLPNAME","E0001-CS","14=MEMO","WENDY KUM CHIOU SZE","14=CONTACTNAME","E-INVOICE","10=LINETOTAL","276.850000","14=U_ENR","","14=U_MSENR","S7138270","14=U_MSPCN","83288253","14=ADDRESS2","ANGELINE LEONG WAI LENG_x000D_CHANGI GENERAL HOSPITAL 5 TAMPINES CENTRAL 1, TAMPINES PLAZA, #06-01, SINGAPORE 529889_x000D_ANGELINE LEONG WAI LENG_x000D_TEL: 86002597_x000D_FAX: _x000D_EMAIL: angeline.leong.w.l@singhealth.com.sg"</v>
      </c>
      <c r="K24" s="19">
        <f t="shared" ref="K24:K29" si="0">MONTH(N24)</f>
        <v>8</v>
      </c>
      <c r="L24" s="19">
        <f t="shared" ref="L24:L29" si="1">YEAR(N24)</f>
        <v>2025</v>
      </c>
      <c r="M24" s="4">
        <v>33039736</v>
      </c>
      <c r="N24" s="30">
        <v>45880</v>
      </c>
      <c r="O24" s="19" t="str">
        <f t="shared" ref="O24:O29" si="2">"S7138270"</f>
        <v>S7138270</v>
      </c>
      <c r="P24" s="19" t="str">
        <f>"83288253"</f>
        <v>83288253</v>
      </c>
      <c r="Q24" s="19"/>
      <c r="R24" s="19" t="str">
        <f>"CI1261-SGD"</f>
        <v>CI1261-SGD</v>
      </c>
      <c r="S24" s="4" t="str">
        <f>"CHANGI GENERAL HOSPITAL PTE LTD"</f>
        <v>CHANGI GENERAL HOSPITAL PTE LTD</v>
      </c>
      <c r="T24" s="19" t="str">
        <f>"4280000533"</f>
        <v>4280000533</v>
      </c>
      <c r="U24" s="42" t="str">
        <f>"958774"</f>
        <v>958774</v>
      </c>
      <c r="V24" s="42">
        <v>45877</v>
      </c>
      <c r="W24" s="42">
        <v>45880</v>
      </c>
      <c r="X24" s="43">
        <f t="shared" ref="X24:X29" si="3">SUM(N24-V24)</f>
        <v>3</v>
      </c>
      <c r="Y24" s="44" t="str">
        <f>"MSEP2-27476GLP"</f>
        <v>MSEP2-27476GLP</v>
      </c>
      <c r="Z24" s="44" t="str">
        <f>"MS VISIO STANDARD 2024 SLNG LTSC"</f>
        <v>MS VISIO STANDARD 2024 SLNG LTSC</v>
      </c>
      <c r="AA24" s="44" t="str">
        <f>"WENDY KUM CHIOU SZE"</f>
        <v>WENDY KUM CHIOU SZE</v>
      </c>
      <c r="AB24" s="43">
        <v>1</v>
      </c>
      <c r="AC24" s="28">
        <f t="shared" ref="AC24:AC29" si="4">IFERROR(AD24/AB24,0)</f>
        <v>276.85000000000002</v>
      </c>
      <c r="AD24" s="31">
        <v>276.85000000000002</v>
      </c>
      <c r="AE24" s="19" t="str">
        <f t="shared" ref="AE24:AE32" si="5">"-"</f>
        <v>-</v>
      </c>
      <c r="AF24" s="45">
        <v>276.85000000000002</v>
      </c>
      <c r="AG24" s="30" t="s">
        <v>72</v>
      </c>
      <c r="AH24" s="46" t="str">
        <f>"ANGELINE LEONG WAI LENG_x000D_CHANGI GENERAL HOSPITAL 5 TAMPINES CENTRAL 1, TAMPINES PLAZA, #06-01, SINGAPORE 529889_x000D_ANGELINE LEONG WAI LENG_x000D_TEL: 86002597_x000D_FAX: _x000D_EMAIL: angeline.leong.w.l@singhealth.com.sg"</f>
        <v>ANGELINE LEONG WAI LENG_x000D_CHANGI GENERAL HOSPITAL 5 TAMPINES CENTRAL 1, TAMPINES PLAZA, #06-01, SINGAPORE 529889_x000D_ANGELINE LEONG WAI LENG_x000D_TEL: 86002597_x000D_FAX: _x000D_EMAIL: angeline.leong.w.l@singhealth.com.sg</v>
      </c>
      <c r="AI24" s="47" t="s">
        <v>73</v>
      </c>
      <c r="AJ24" s="47" t="s">
        <v>74</v>
      </c>
      <c r="AK24" s="3" t="str">
        <f>"MSEP2-27476GLP"</f>
        <v>MSEP2-27476GLP</v>
      </c>
      <c r="AL24" s="3" t="str">
        <f>"MS VISIO STANDARD 2024 SLNG LTSC"</f>
        <v>MS VISIO STANDARD 2024 SLNG LTSC</v>
      </c>
      <c r="AM24" s="19" t="s">
        <v>334</v>
      </c>
      <c r="AN24" s="19" t="str">
        <f t="shared" ref="AN24:AP29" si="6">"-"</f>
        <v>-</v>
      </c>
      <c r="AO24" s="19" t="str">
        <f t="shared" si="6"/>
        <v>-</v>
      </c>
      <c r="AP24" s="19" t="str">
        <f t="shared" si="6"/>
        <v>-</v>
      </c>
    </row>
    <row r="25" spans="1:43">
      <c r="A25" s="1" t="s">
        <v>166</v>
      </c>
      <c r="B25" s="1" t="str">
        <f t="shared" ref="B25:B29" si="7">IF(K25="","Hide","Show")</f>
        <v>Show</v>
      </c>
      <c r="C25" s="4" t="s">
        <v>43</v>
      </c>
      <c r="E25" s="11" t="str">
        <f>"""UICACS"","""",""SQL="",""2=DOCNUM"",""33039738"",""14=CUSTREF"",""4280000534"",""14=U_CUSTREF"",""4280000534"",""15=DOCDATE"",""11/8/2025"",""15=TAXDATE"",""11/8/2025"",""14=CARDCODE"",""CI1261-SGD"",""14=CARDNAME"",""CHANGI GENERAL HOSPITAL PTE LTD"",""14=ITEMCODE"",""MSEP2-27380GLP"",""14="&amp;"ITEMNAME"",""MS OFFICE STANDARD 2024 SLNG LTSC"",""10=QUANTITY"",""6.000000"",""14=U_PONO"",""958773"",""15=U_PODATE"",""8/8/2025"",""10=U_TLINTCOS"",""0.000000"",""2=SLPCODE"",""132"",""14=SLPNAME"",""E0001-CS"",""14=MEMO"",""WENDY KUM CHIOU SZE"",""14=CONTACTNAME"",""E-INVOICE"",""10=LINE"&amp;"TOTAL"",""2566.980000"",""14=U_ENR"","""",""14=U_MSENR"",""S7138270"",""14=U_MSPCN"",""83288253"",""14=ADDRESS2"",""SUPPLY CHAIN- INVENTORY RECEIVING SECTION_x000D_CHANGI GENERAL HOSPITAL 2 SIMEI ST 3, BASEMENT 1, SINGAPORE 529889_x000D_RAMESH_x000D_TEL: 6850 4766/ 6587 7423_x000D_FAX: _x000D_EMAIL: ra"&amp;"mesh.s.jamal@ihis.com.sg"""</f>
        <v>"UICACS","","SQL=","2=DOCNUM","33039738","14=CUSTREF","4280000534","14=U_CUSTREF","4280000534","15=DOCDATE","11/8/2025","15=TAXDATE","11/8/2025","14=CARDCODE","CI1261-SGD","14=CARDNAME","CHANGI GENERAL HOSPITAL PTE LTD","14=ITEMCODE","MSEP2-27380GLP","14=ITEMNAME","MS OFFICE STANDARD 2024 SLNG LTSC","10=QUANTITY","6.000000","14=U_PONO","958773","15=U_PODATE","8/8/2025","10=U_TLINTCOS","0.000000","2=SLPCODE","132","14=SLPNAME","E0001-CS","14=MEMO","WENDY KUM CHIOU SZE","14=CONTACTNAME","E-INVOICE","10=LINETOTAL","2566.980000","14=U_ENR","","14=U_MSENR","S7138270","14=U_MSPCN","83288253","14=ADDRESS2","SUPPLY CHAIN- INVENTORY RECEIVING SECTION_x000D_CHANGI GENERAL HOSPITAL 2 SIMEI ST 3, BASEMENT 1, SINGAPORE 529889_x000D_RAMESH_x000D_TEL: 6850 4766/ 6587 7423_x000D_FAX: _x000D_EMAIL: ramesh.s.jamal@ihis.com.sg"</v>
      </c>
      <c r="K25" s="19">
        <f t="shared" si="0"/>
        <v>8</v>
      </c>
      <c r="L25" s="19">
        <f t="shared" si="1"/>
        <v>2025</v>
      </c>
      <c r="M25" s="4">
        <v>33039738</v>
      </c>
      <c r="N25" s="30">
        <v>45880</v>
      </c>
      <c r="O25" s="19" t="str">
        <f t="shared" si="2"/>
        <v>S7138270</v>
      </c>
      <c r="P25" s="19" t="str">
        <f>"83288253"</f>
        <v>83288253</v>
      </c>
      <c r="Q25" s="19"/>
      <c r="R25" s="19" t="str">
        <f>"CI1261-SGD"</f>
        <v>CI1261-SGD</v>
      </c>
      <c r="S25" s="4" t="str">
        <f>"CHANGI GENERAL HOSPITAL PTE LTD"</f>
        <v>CHANGI GENERAL HOSPITAL PTE LTD</v>
      </c>
      <c r="T25" s="19" t="str">
        <f>"4280000534"</f>
        <v>4280000534</v>
      </c>
      <c r="U25" s="42" t="str">
        <f>"958773"</f>
        <v>958773</v>
      </c>
      <c r="V25" s="42">
        <v>45877</v>
      </c>
      <c r="W25" s="42">
        <v>45880</v>
      </c>
      <c r="X25" s="43">
        <f t="shared" si="3"/>
        <v>3</v>
      </c>
      <c r="Y25" s="44" t="str">
        <f>"MSEP2-27380GLP"</f>
        <v>MSEP2-27380GLP</v>
      </c>
      <c r="Z25" s="44" t="str">
        <f>"MS OFFICE STANDARD 2024 SLNG LTSC"</f>
        <v>MS OFFICE STANDARD 2024 SLNG LTSC</v>
      </c>
      <c r="AA25" s="44" t="str">
        <f>"WENDY KUM CHIOU SZE"</f>
        <v>WENDY KUM CHIOU SZE</v>
      </c>
      <c r="AB25" s="43">
        <v>6</v>
      </c>
      <c r="AC25" s="28">
        <f t="shared" si="4"/>
        <v>427.83</v>
      </c>
      <c r="AD25" s="31">
        <v>2566.98</v>
      </c>
      <c r="AE25" s="19" t="str">
        <f t="shared" si="5"/>
        <v>-</v>
      </c>
      <c r="AF25" s="45">
        <v>2566.98</v>
      </c>
      <c r="AG25" s="30" t="s">
        <v>72</v>
      </c>
      <c r="AH25" s="46" t="str">
        <f>"SUPPLY CHAIN- INVENTORY RECEIVING SECTION_x000D_CHANGI GENERAL HOSPITAL 2 SIMEI ST 3, BASEMENT 1, SINGAPORE 529889_x000D_RAMESH_x000D_TEL: 6850 4766/ 6587 7423_x000D_FAX: _x000D_EMAIL: ramesh.s.jamal@ihis.com.sg"</f>
        <v>SUPPLY CHAIN- INVENTORY RECEIVING SECTION_x000D_CHANGI GENERAL HOSPITAL 2 SIMEI ST 3, BASEMENT 1, SINGAPORE 529889_x000D_RAMESH_x000D_TEL: 6850 4766/ 6587 7423_x000D_FAX: _x000D_EMAIL: ramesh.s.jamal@ihis.com.sg</v>
      </c>
      <c r="AI25" s="47" t="s">
        <v>73</v>
      </c>
      <c r="AJ25" s="47" t="s">
        <v>74</v>
      </c>
      <c r="AK25" s="3" t="str">
        <f>"MSEP2-27380GLP"</f>
        <v>MSEP2-27380GLP</v>
      </c>
      <c r="AL25" s="3" t="str">
        <f>"MS OFFICE STANDARD 2024 SLNG LTSC"</f>
        <v>MS OFFICE STANDARD 2024 SLNG LTSC</v>
      </c>
      <c r="AM25" s="19" t="s">
        <v>334</v>
      </c>
      <c r="AN25" s="19" t="str">
        <f t="shared" si="6"/>
        <v>-</v>
      </c>
      <c r="AO25" s="19" t="str">
        <f t="shared" si="6"/>
        <v>-</v>
      </c>
      <c r="AP25" s="19" t="str">
        <f t="shared" si="6"/>
        <v>-</v>
      </c>
    </row>
    <row r="26" spans="1:43">
      <c r="A26" s="1" t="s">
        <v>166</v>
      </c>
      <c r="B26" s="1" t="str">
        <f t="shared" si="7"/>
        <v>Show</v>
      </c>
      <c r="C26" s="4" t="s">
        <v>43</v>
      </c>
      <c r="E26" s="11" t="str">
        <f>"""UICACS"","""",""SQL="",""2=DOCNUM"",""33039809"",""14=CUSTREF"",""7225400360"",""14=U_CUSTREF"",""7225400360"",""15=DOCDATE"",""18/8/2025"",""15=TAXDATE"",""18/8/2025"",""14=CARDCODE"",""CI1190-SGD"",""14=CARDNAME"",""SINGAPORE NATIONAL EYE CENTRE PTE LTD"",""14=ITEMCODE"",""MSEP2-27380GLP"&amp;""",""14=ITEMNAME"",""MS OFFICE STANDARD 2024 SLNG LTSC"",""10=QUANTITY"",""1.000000"",""14=U_PONO"",""958909"",""15=U_PODATE"",""15/8/2025"",""10=U_TLINTCOS"",""0.000000"",""2=SLPCODE"",""127"",""14=SLPNAME"",""E0001-GH"",""14=MEMO"",""MANZY TOH GUAN HUI"",""14=CONTACTNAME"",""ACCOUNTS DEPT"&amp;""",""10=LINETOTAL"",""430.920000"",""14=U_ENR"","""",""14=U_MSENR"",""S7138270"",""14=U_MSPCN"",""A8AA53F5"",""14=ADDRESS2"",""REGINE GOH_x000D_SINGAPORE NATIONAL EYE CENTRE PTE LTD BOWYER BLOCK C, 11 THIRD HOSPITAL AVENUE LEVEL 2 SINGAPORE 168751_x000D_REGINE GOH_x000D_TEL: _x000D_FAX: _x000D_EMAIL: reg"&amp;"ine.goh.h.y@snec.com.sg"""</f>
        <v>"UICACS","","SQL=","2=DOCNUM","33039809","14=CUSTREF","7225400360","14=U_CUSTREF","7225400360","15=DOCDATE","18/8/2025","15=TAXDATE","18/8/2025","14=CARDCODE","CI1190-SGD","14=CARDNAME","SINGAPORE NATIONAL EYE CENTRE PTE LTD","14=ITEMCODE","MSEP2-27380GLP","14=ITEMNAME","MS OFFICE STANDARD 2024 SLNG LTSC","10=QUANTITY","1.000000","14=U_PONO","958909","15=U_PODATE","15/8/2025","10=U_TLINTCOS","0.000000","2=SLPCODE","127","14=SLPNAME","E0001-GH","14=MEMO","MANZY TOH GUAN HUI","14=CONTACTNAME","ACCOUNTS DEPT","10=LINETOTAL","430.920000","14=U_ENR","","14=U_MSENR","S7138270","14=U_MSPCN","A8AA53F5","14=ADDRESS2","REGINE GOH_x000D_SINGAPORE NATIONAL EYE CENTRE PTE LTD BOWYER BLOCK C, 11 THIRD HOSPITAL AVENUE LEVEL 2 SINGAPORE 168751_x000D_REGINE GOH_x000D_TEL: _x000D_FAX: _x000D_EMAIL: regine.goh.h.y@snec.com.sg"</v>
      </c>
      <c r="K26" s="19">
        <f t="shared" si="0"/>
        <v>8</v>
      </c>
      <c r="L26" s="19">
        <f t="shared" si="1"/>
        <v>2025</v>
      </c>
      <c r="M26" s="4">
        <v>33039809</v>
      </c>
      <c r="N26" s="30">
        <v>45887</v>
      </c>
      <c r="O26" s="19" t="str">
        <f t="shared" si="2"/>
        <v>S7138270</v>
      </c>
      <c r="P26" s="19" t="str">
        <f>"A8AA53F5"</f>
        <v>A8AA53F5</v>
      </c>
      <c r="Q26" s="19"/>
      <c r="R26" s="19" t="str">
        <f>"CI1190-SGD"</f>
        <v>CI1190-SGD</v>
      </c>
      <c r="S26" s="4" t="str">
        <f>"SINGAPORE NATIONAL EYE CENTRE PTE LTD"</f>
        <v>SINGAPORE NATIONAL EYE CENTRE PTE LTD</v>
      </c>
      <c r="T26" s="19" t="str">
        <f>"7225400360"</f>
        <v>7225400360</v>
      </c>
      <c r="U26" s="42" t="str">
        <f>"958909"</f>
        <v>958909</v>
      </c>
      <c r="V26" s="42">
        <v>45884</v>
      </c>
      <c r="W26" s="42">
        <v>45887</v>
      </c>
      <c r="X26" s="43">
        <f t="shared" si="3"/>
        <v>3</v>
      </c>
      <c r="Y26" s="44" t="str">
        <f>"MSEP2-27380GLP"</f>
        <v>MSEP2-27380GLP</v>
      </c>
      <c r="Z26" s="44" t="str">
        <f>"MS OFFICE STANDARD 2024 SLNG LTSC"</f>
        <v>MS OFFICE STANDARD 2024 SLNG LTSC</v>
      </c>
      <c r="AA26" s="44" t="str">
        <f>"MANZY TOH GUAN HUI"</f>
        <v>MANZY TOH GUAN HUI</v>
      </c>
      <c r="AB26" s="43">
        <v>1</v>
      </c>
      <c r="AC26" s="28">
        <f t="shared" si="4"/>
        <v>430.92</v>
      </c>
      <c r="AD26" s="31">
        <v>430.92</v>
      </c>
      <c r="AE26" s="19" t="str">
        <f t="shared" si="5"/>
        <v>-</v>
      </c>
      <c r="AF26" s="45">
        <v>430.92</v>
      </c>
      <c r="AG26" s="30" t="s">
        <v>72</v>
      </c>
      <c r="AH26" s="46" t="str">
        <f>"REGINE GOH_x000D_SINGAPORE NATIONAL EYE CENTRE PTE LTD BOWYER BLOCK C, 11 THIRD HOSPITAL AVENUE LEVEL 2 SINGAPORE 168751_x000D_REGINE GOH_x000D_TEL: _x000D_FAX: _x000D_EMAIL: regine.goh.h.y@snec.com.sg"</f>
        <v>REGINE GOH_x000D_SINGAPORE NATIONAL EYE CENTRE PTE LTD BOWYER BLOCK C, 11 THIRD HOSPITAL AVENUE LEVEL 2 SINGAPORE 168751_x000D_REGINE GOH_x000D_TEL: _x000D_FAX: _x000D_EMAIL: regine.goh.h.y@snec.com.sg</v>
      </c>
      <c r="AI26" s="47" t="s">
        <v>73</v>
      </c>
      <c r="AJ26" s="47" t="s">
        <v>74</v>
      </c>
      <c r="AK26" s="3" t="str">
        <f>"MSEP2-27380GLP"</f>
        <v>MSEP2-27380GLP</v>
      </c>
      <c r="AL26" s="3" t="str">
        <f>"MS OFFICE STANDARD 2024 SLNG LTSC"</f>
        <v>MS OFFICE STANDARD 2024 SLNG LTSC</v>
      </c>
      <c r="AM26" s="19" t="s">
        <v>334</v>
      </c>
      <c r="AN26" s="19" t="str">
        <f t="shared" si="6"/>
        <v>-</v>
      </c>
      <c r="AO26" s="19" t="str">
        <f t="shared" si="6"/>
        <v>-</v>
      </c>
      <c r="AP26" s="19" t="str">
        <f t="shared" si="6"/>
        <v>-</v>
      </c>
    </row>
    <row r="27" spans="1:43">
      <c r="A27" s="1" t="s">
        <v>166</v>
      </c>
      <c r="B27" s="1" t="str">
        <f t="shared" si="7"/>
        <v>Show</v>
      </c>
      <c r="C27" s="4" t="s">
        <v>43</v>
      </c>
      <c r="E27" s="11" t="str">
        <f>"""UICACS"","""",""SQL="",""2=DOCNUM"",""33039909"",""14=CUSTREF"",""4280000549"",""14=U_CUSTREF"",""4280000549"",""15=DOCDATE"",""21/8/2025"",""15=TAXDATE"",""21/8/2025"",""14=CARDCODE"",""CI1261-SGD"",""14=CARDNAME"",""CHANGI GENERAL HOSPITAL PTE LTD"",""14=ITEMCODE"",""MSEP2-27380GLP"",""14="&amp;"ITEMNAME"",""MS OFFICE STANDARD 2024 SLNG LTSC"",""10=QUANTITY"",""2.000000"",""14=U_PONO"","""",""15=U_PODATE"",""20/8/2025"",""10=U_TLINTCOS"",""0.000000"",""2=SLPCODE"",""127"",""14=SLPNAME"",""E0001-GH"",""14=MEMO"",""MANZY TOH GUAN HUI"",""14=CONTACTNAME"",""E-INVOICE"",""10=LINETOTAL"""&amp;",""852.660000"",""14=U_ENR"","""",""14=U_MSENR"",""S7138270"",""14=U_MSPCN"",""83288253"",""14=ADDRESS2"",""ZAYAR AUNG_x000D_CHANGI GENERAL HOSPITAL PTE LTD 2 SIMEI STREET 3 MC LEVEL 9 SINGAPORE_x000D_ZAYAR AUNG_x000D_TEL: 97392597_x000D_FAX: _x000D_EMAIL: zayar.aung@synapxe.sg"""</f>
        <v>"UICACS","","SQL=","2=DOCNUM","33039909","14=CUSTREF","4280000549","14=U_CUSTREF","4280000549","15=DOCDATE","21/8/2025","15=TAXDATE","21/8/2025","14=CARDCODE","CI1261-SGD","14=CARDNAME","CHANGI GENERAL HOSPITAL PTE LTD","14=ITEMCODE","MSEP2-27380GLP","14=ITEMNAME","MS OFFICE STANDARD 2024 SLNG LTSC","10=QUANTITY","2.000000","14=U_PONO","","15=U_PODATE","20/8/2025","10=U_TLINTCOS","0.000000","2=SLPCODE","127","14=SLPNAME","E0001-GH","14=MEMO","MANZY TOH GUAN HUI","14=CONTACTNAME","E-INVOICE","10=LINETOTAL","852.660000","14=U_ENR","","14=U_MSENR","S7138270","14=U_MSPCN","83288253","14=ADDRESS2","ZAYAR AUNG_x000D_CHANGI GENERAL HOSPITAL PTE LTD 2 SIMEI STREET 3 MC LEVEL 9 SINGAPORE_x000D_ZAYAR AUNG_x000D_TEL: 97392597_x000D_FAX: _x000D_EMAIL: zayar.aung@synapxe.sg"</v>
      </c>
      <c r="K27" s="19">
        <f t="shared" si="0"/>
        <v>8</v>
      </c>
      <c r="L27" s="19">
        <f t="shared" si="1"/>
        <v>2025</v>
      </c>
      <c r="M27" s="4">
        <v>33039909</v>
      </c>
      <c r="N27" s="30">
        <v>45890</v>
      </c>
      <c r="O27" s="19" t="str">
        <f t="shared" si="2"/>
        <v>S7138270</v>
      </c>
      <c r="P27" s="19" t="str">
        <f>"83288253"</f>
        <v>83288253</v>
      </c>
      <c r="Q27" s="19"/>
      <c r="R27" s="19" t="str">
        <f>"CI1261-SGD"</f>
        <v>CI1261-SGD</v>
      </c>
      <c r="S27" s="4" t="str">
        <f>"CHANGI GENERAL HOSPITAL PTE LTD"</f>
        <v>CHANGI GENERAL HOSPITAL PTE LTD</v>
      </c>
      <c r="T27" s="19" t="str">
        <f>"4280000549"</f>
        <v>4280000549</v>
      </c>
      <c r="U27" s="42" t="s">
        <v>335</v>
      </c>
      <c r="V27" s="42">
        <v>45889</v>
      </c>
      <c r="W27" s="42">
        <v>45890</v>
      </c>
      <c r="X27" s="43">
        <f t="shared" si="3"/>
        <v>1</v>
      </c>
      <c r="Y27" s="44" t="str">
        <f>"MSEP2-27380GLP"</f>
        <v>MSEP2-27380GLP</v>
      </c>
      <c r="Z27" s="44" t="str">
        <f>"MS OFFICE STANDARD 2024 SLNG LTSC"</f>
        <v>MS OFFICE STANDARD 2024 SLNG LTSC</v>
      </c>
      <c r="AA27" s="44" t="str">
        <f>"MANZY TOH GUAN HUI"</f>
        <v>MANZY TOH GUAN HUI</v>
      </c>
      <c r="AB27" s="43">
        <v>2</v>
      </c>
      <c r="AC27" s="28">
        <f t="shared" si="4"/>
        <v>426.33</v>
      </c>
      <c r="AD27" s="31">
        <v>852.66</v>
      </c>
      <c r="AE27" s="19" t="str">
        <f t="shared" si="5"/>
        <v>-</v>
      </c>
      <c r="AF27" s="45">
        <v>852.66</v>
      </c>
      <c r="AG27" s="30" t="s">
        <v>72</v>
      </c>
      <c r="AH27" s="46" t="str">
        <f>"ZAYAR AUNG_x000D_CHANGI GENERAL HOSPITAL PTE LTD 2 SIMEI STREET 3 MC LEVEL 9 SINGAPORE_x000D_ZAYAR AUNG_x000D_TEL: 97392597_x000D_FAX: _x000D_EMAIL: zayar.aung@synapxe.sg"</f>
        <v>ZAYAR AUNG_x000D_CHANGI GENERAL HOSPITAL PTE LTD 2 SIMEI STREET 3 MC LEVEL 9 SINGAPORE_x000D_ZAYAR AUNG_x000D_TEL: 97392597_x000D_FAX: _x000D_EMAIL: zayar.aung@synapxe.sg</v>
      </c>
      <c r="AI27" s="47" t="s">
        <v>73</v>
      </c>
      <c r="AJ27" s="47" t="s">
        <v>74</v>
      </c>
      <c r="AK27" s="3" t="str">
        <f>"MSEP2-27380GLP"</f>
        <v>MSEP2-27380GLP</v>
      </c>
      <c r="AL27" s="3" t="str">
        <f>"MS OFFICE STANDARD 2024 SLNG LTSC"</f>
        <v>MS OFFICE STANDARD 2024 SLNG LTSC</v>
      </c>
      <c r="AM27" s="19" t="s">
        <v>334</v>
      </c>
      <c r="AN27" s="19" t="str">
        <f t="shared" si="6"/>
        <v>-</v>
      </c>
      <c r="AO27" s="19" t="str">
        <f t="shared" si="6"/>
        <v>-</v>
      </c>
      <c r="AP27" s="19" t="str">
        <f t="shared" si="6"/>
        <v>-</v>
      </c>
    </row>
    <row r="28" spans="1:43">
      <c r="A28" s="1" t="s">
        <v>166</v>
      </c>
      <c r="B28" s="1" t="str">
        <f t="shared" si="7"/>
        <v>Show</v>
      </c>
      <c r="C28" s="4" t="s">
        <v>43</v>
      </c>
      <c r="E28" s="11" t="str">
        <f>"""UICACS"","""",""SQL="",""2=DOCNUM"",""33039971"",""14=CUSTREF"",""4280000569"",""14=U_CUSTREF"",""4280000569"",""15=DOCDATE"",""26/8/2025"",""15=TAXDATE"",""26/8/2025"",""14=CARDCODE"",""CI1261-SGD"",""14=CARDNAME"",""CHANGI GENERAL HOSPITAL PTE LTD"",""14=ITEMCODE"",""MSEP2-27380GLP"",""14="&amp;"ITEMNAME"",""MS OFFICE STANDARD 2024 SLNG LTSC"",""10=QUANTITY"",""7.000000"",""14=U_PONO"",""959101"",""15=U_PODATE"",""25/8/2025"",""10=U_TLINTCOS"",""0.000000"",""2=SLPCODE"",""127"",""14=SLPNAME"",""E0001-GH"",""14=MEMO"",""MANZY TOH GUAN HUI"",""14=CONTACTNAME"",""E-INVOICE"",""10=LINE"&amp;"TOTAL"",""2994.810000"",""14=U_ENR"","""",""14=U_MSENR"",""S7138270"",""14=U_MSPCN"",""83288253"",""14=ADDRESS2"",""BERNARD CHUA_x000D_CHANGI GENERAL HOSPITAL PTE LTD 2 SIMEI STREET 3  SINGAPORE 529889_x000D_BERNARD CHUA_x000D_TEL: _x000D_FAX: _x000D_EMAIL: bernard.chua@synapxe.sg"""</f>
        <v>"UICACS","","SQL=","2=DOCNUM","33039971","14=CUSTREF","4280000569","14=U_CUSTREF","4280000569","15=DOCDATE","26/8/2025","15=TAXDATE","26/8/2025","14=CARDCODE","CI1261-SGD","14=CARDNAME","CHANGI GENERAL HOSPITAL PTE LTD","14=ITEMCODE","MSEP2-27380GLP","14=ITEMNAME","MS OFFICE STANDARD 2024 SLNG LTSC","10=QUANTITY","7.000000","14=U_PONO","959101","15=U_PODATE","25/8/2025","10=U_TLINTCOS","0.000000","2=SLPCODE","127","14=SLPNAME","E0001-GH","14=MEMO","MANZY TOH GUAN HUI","14=CONTACTNAME","E-INVOICE","10=LINETOTAL","2994.810000","14=U_ENR","","14=U_MSENR","S7138270","14=U_MSPCN","83288253","14=ADDRESS2","BERNARD CHUA_x000D_CHANGI GENERAL HOSPITAL PTE LTD 2 SIMEI STREET 3  SINGAPORE 529889_x000D_BERNARD CHUA_x000D_TEL: _x000D_FAX: _x000D_EMAIL: bernard.chua@synapxe.sg"</v>
      </c>
      <c r="K28" s="19">
        <f t="shared" si="0"/>
        <v>8</v>
      </c>
      <c r="L28" s="19">
        <f t="shared" si="1"/>
        <v>2025</v>
      </c>
      <c r="M28" s="4">
        <v>33039971</v>
      </c>
      <c r="N28" s="30">
        <v>45895</v>
      </c>
      <c r="O28" s="19" t="str">
        <f t="shared" si="2"/>
        <v>S7138270</v>
      </c>
      <c r="P28" s="19" t="str">
        <f>"83288253"</f>
        <v>83288253</v>
      </c>
      <c r="Q28" s="19"/>
      <c r="R28" s="19" t="str">
        <f>"CI1261-SGD"</f>
        <v>CI1261-SGD</v>
      </c>
      <c r="S28" s="4" t="str">
        <f>"CHANGI GENERAL HOSPITAL PTE LTD"</f>
        <v>CHANGI GENERAL HOSPITAL PTE LTD</v>
      </c>
      <c r="T28" s="19" t="str">
        <f>"4280000569"</f>
        <v>4280000569</v>
      </c>
      <c r="U28" s="42" t="str">
        <f>"959101"</f>
        <v>959101</v>
      </c>
      <c r="V28" s="42">
        <v>45894</v>
      </c>
      <c r="W28" s="42">
        <v>45895</v>
      </c>
      <c r="X28" s="43">
        <f t="shared" si="3"/>
        <v>1</v>
      </c>
      <c r="Y28" s="44" t="str">
        <f>"MSEP2-27380GLP"</f>
        <v>MSEP2-27380GLP</v>
      </c>
      <c r="Z28" s="44" t="str">
        <f>"MS OFFICE STANDARD 2024 SLNG LTSC"</f>
        <v>MS OFFICE STANDARD 2024 SLNG LTSC</v>
      </c>
      <c r="AA28" s="44" t="str">
        <f>"MANZY TOH GUAN HUI"</f>
        <v>MANZY TOH GUAN HUI</v>
      </c>
      <c r="AB28" s="43">
        <v>7</v>
      </c>
      <c r="AC28" s="28">
        <f t="shared" si="4"/>
        <v>427.83</v>
      </c>
      <c r="AD28" s="31">
        <v>2994.81</v>
      </c>
      <c r="AE28" s="19" t="str">
        <f t="shared" si="5"/>
        <v>-</v>
      </c>
      <c r="AF28" s="45">
        <v>2994.81</v>
      </c>
      <c r="AG28" s="30" t="s">
        <v>72</v>
      </c>
      <c r="AH28" s="46" t="str">
        <f>"BERNARD CHUA_x000D_CHANGI GENERAL HOSPITAL PTE LTD 2 SIMEI STREET 3  SINGAPORE 529889_x000D_BERNARD CHUA_x000D_TEL: _x000D_FAX: _x000D_EMAIL: bernard.chua@synapxe.sg"</f>
        <v>BERNARD CHUA_x000D_CHANGI GENERAL HOSPITAL PTE LTD 2 SIMEI STREET 3  SINGAPORE 529889_x000D_BERNARD CHUA_x000D_TEL: _x000D_FAX: _x000D_EMAIL: bernard.chua@synapxe.sg</v>
      </c>
      <c r="AI28" s="47" t="s">
        <v>73</v>
      </c>
      <c r="AJ28" s="47" t="s">
        <v>74</v>
      </c>
      <c r="AK28" s="3" t="str">
        <f>"MSEP2-27380GLP"</f>
        <v>MSEP2-27380GLP</v>
      </c>
      <c r="AL28" s="3" t="str">
        <f>"MS OFFICE STANDARD 2024 SLNG LTSC"</f>
        <v>MS OFFICE STANDARD 2024 SLNG LTSC</v>
      </c>
      <c r="AM28" s="19" t="s">
        <v>334</v>
      </c>
      <c r="AN28" s="19" t="str">
        <f t="shared" si="6"/>
        <v>-</v>
      </c>
      <c r="AO28" s="19" t="str">
        <f t="shared" si="6"/>
        <v>-</v>
      </c>
      <c r="AP28" s="19" t="str">
        <f t="shared" si="6"/>
        <v>-</v>
      </c>
    </row>
    <row r="29" spans="1:43">
      <c r="A29" s="1" t="s">
        <v>166</v>
      </c>
      <c r="B29" s="1" t="str">
        <f t="shared" si="7"/>
        <v>Show</v>
      </c>
      <c r="C29" s="4" t="s">
        <v>43</v>
      </c>
      <c r="E29" s="11" t="str">
        <f>"""UICACS"","""",""SQL="",""2=DOCNUM"",""33040041"",""14=CUSTREF"",""4280000568"",""14=U_CUSTREF"",""4280000568"",""15=DOCDATE"",""29/8/2025"",""15=TAXDATE"",""29/8/2025"",""14=CARDCODE"",""CI1261-SGD"",""14=CARDNAME"",""CHANGI GENERAL HOSPITAL PTE LTD"",""14=ITEMCODE"",""MSEP2-27380GLP"",""14="&amp;"ITEMNAME"",""MS OFFICE STANDARD 2024 SLNG LTSC"",""10=QUANTITY"",""6.000000"",""14=U_PONO"",""959086"",""15=U_PODATE"",""22/8/2025"",""10=U_TLINTCOS"",""0.000000"",""2=SLPCODE"",""127"",""14=SLPNAME"",""E0001-GH"",""14=MEMO"",""MANZY TOH GUAN HUI"",""14=CONTACTNAME"",""E-INVOICE"",""10=LINE"&amp;"TOTAL"",""2566.980000"",""14=U_ENR"","""",""14=U_MSENR"",""S7138270"",""14=U_MSPCN"",""83288253"",""14=ADDRESS2"",""BERNARD CHUA_x000D_CHANGI GENERAL HOSPITAL PTE LTD 2 SIMEI STREET 3  SINGAPORE 529889_x000D_BERNARD CHUA_x000D_TEL: _x000D_FAX: _x000D_EMAIL: bernard.chua@synapxe.sg"""</f>
        <v>"UICACS","","SQL=","2=DOCNUM","33040041","14=CUSTREF","4280000568","14=U_CUSTREF","4280000568","15=DOCDATE","29/8/2025","15=TAXDATE","29/8/2025","14=CARDCODE","CI1261-SGD","14=CARDNAME","CHANGI GENERAL HOSPITAL PTE LTD","14=ITEMCODE","MSEP2-27380GLP","14=ITEMNAME","MS OFFICE STANDARD 2024 SLNG LTSC","10=QUANTITY","6.000000","14=U_PONO","959086","15=U_PODATE","22/8/2025","10=U_TLINTCOS","0.000000","2=SLPCODE","127","14=SLPNAME","E0001-GH","14=MEMO","MANZY TOH GUAN HUI","14=CONTACTNAME","E-INVOICE","10=LINETOTAL","2566.980000","14=U_ENR","","14=U_MSENR","S7138270","14=U_MSPCN","83288253","14=ADDRESS2","BERNARD CHUA_x000D_CHANGI GENERAL HOSPITAL PTE LTD 2 SIMEI STREET 3  SINGAPORE 529889_x000D_BERNARD CHUA_x000D_TEL: _x000D_FAX: _x000D_EMAIL: bernard.chua@synapxe.sg"</v>
      </c>
      <c r="K29" s="19">
        <f t="shared" si="0"/>
        <v>8</v>
      </c>
      <c r="L29" s="19">
        <f t="shared" si="1"/>
        <v>2025</v>
      </c>
      <c r="M29" s="4">
        <v>33040041</v>
      </c>
      <c r="N29" s="30">
        <v>45898</v>
      </c>
      <c r="O29" s="19" t="str">
        <f t="shared" si="2"/>
        <v>S7138270</v>
      </c>
      <c r="P29" s="19" t="str">
        <f>"83288253"</f>
        <v>83288253</v>
      </c>
      <c r="Q29" s="19"/>
      <c r="R29" s="19" t="str">
        <f>"CI1261-SGD"</f>
        <v>CI1261-SGD</v>
      </c>
      <c r="S29" s="4" t="str">
        <f>"CHANGI GENERAL HOSPITAL PTE LTD"</f>
        <v>CHANGI GENERAL HOSPITAL PTE LTD</v>
      </c>
      <c r="T29" s="19" t="str">
        <f>"4280000568"</f>
        <v>4280000568</v>
      </c>
      <c r="U29" s="42" t="str">
        <f>"959086"</f>
        <v>959086</v>
      </c>
      <c r="V29" s="42">
        <v>45893</v>
      </c>
      <c r="W29" s="42">
        <v>45898</v>
      </c>
      <c r="X29" s="43">
        <f t="shared" si="3"/>
        <v>5</v>
      </c>
      <c r="Y29" s="44" t="str">
        <f>"MSEP2-27380GLP"</f>
        <v>MSEP2-27380GLP</v>
      </c>
      <c r="Z29" s="44" t="str">
        <f>"MS OFFICE STANDARD 2024 SLNG LTSC"</f>
        <v>MS OFFICE STANDARD 2024 SLNG LTSC</v>
      </c>
      <c r="AA29" s="44" t="str">
        <f>"MANZY TOH GUAN HUI"</f>
        <v>MANZY TOH GUAN HUI</v>
      </c>
      <c r="AB29" s="43">
        <v>6</v>
      </c>
      <c r="AC29" s="28">
        <f t="shared" si="4"/>
        <v>427.83</v>
      </c>
      <c r="AD29" s="31">
        <v>2566.98</v>
      </c>
      <c r="AE29" s="19" t="str">
        <f t="shared" si="5"/>
        <v>-</v>
      </c>
      <c r="AF29" s="45">
        <v>2566.98</v>
      </c>
      <c r="AG29" s="30" t="s">
        <v>72</v>
      </c>
      <c r="AH29" s="46" t="str">
        <f>"BERNARD CHUA_x000D_CHANGI GENERAL HOSPITAL PTE LTD 2 SIMEI STREET 3  SINGAPORE 529889_x000D_BERNARD CHUA_x000D_TEL: _x000D_FAX: _x000D_EMAIL: bernard.chua@synapxe.sg"</f>
        <v>BERNARD CHUA_x000D_CHANGI GENERAL HOSPITAL PTE LTD 2 SIMEI STREET 3  SINGAPORE 529889_x000D_BERNARD CHUA_x000D_TEL: _x000D_FAX: _x000D_EMAIL: bernard.chua@synapxe.sg</v>
      </c>
      <c r="AI29" s="47" t="s">
        <v>73</v>
      </c>
      <c r="AJ29" s="47" t="s">
        <v>74</v>
      </c>
      <c r="AK29" s="3" t="str">
        <f>"MSEP2-27380GLP"</f>
        <v>MSEP2-27380GLP</v>
      </c>
      <c r="AL29" s="3" t="str">
        <f>"MS OFFICE STANDARD 2024 SLNG LTSC"</f>
        <v>MS OFFICE STANDARD 2024 SLNG LTSC</v>
      </c>
      <c r="AM29" s="19" t="s">
        <v>334</v>
      </c>
      <c r="AN29" s="19" t="str">
        <f t="shared" si="6"/>
        <v>-</v>
      </c>
      <c r="AO29" s="19" t="str">
        <f t="shared" si="6"/>
        <v>-</v>
      </c>
      <c r="AP29" s="19" t="str">
        <f t="shared" si="6"/>
        <v>-</v>
      </c>
    </row>
    <row r="30" spans="1:43" hidden="1">
      <c r="B30" s="1" t="str">
        <f>IF(K30="","Hide","Show")</f>
        <v>Hide</v>
      </c>
      <c r="C30" s="4" t="s">
        <v>44</v>
      </c>
      <c r="E30" s="11" t="str">
        <f>""</f>
        <v/>
      </c>
      <c r="K30" s="4" t="str">
        <f>""</f>
        <v/>
      </c>
      <c r="L30" s="30" t="str">
        <f>""</f>
        <v/>
      </c>
      <c r="M30" s="4" t="str">
        <f>""</f>
        <v/>
      </c>
      <c r="N30" s="4" t="str">
        <f>""</f>
        <v/>
      </c>
      <c r="O30" s="4" t="str">
        <f>""</f>
        <v/>
      </c>
      <c r="P30" s="4" t="str">
        <f>""</f>
        <v/>
      </c>
      <c r="Q30" s="3" t="str">
        <f>""</f>
        <v/>
      </c>
      <c r="R30" s="5"/>
      <c r="S30" s="4" t="str">
        <f>""</f>
        <v/>
      </c>
      <c r="T30" s="4" t="str">
        <f>""</f>
        <v/>
      </c>
      <c r="V30" s="4" t="str">
        <f>""</f>
        <v/>
      </c>
      <c r="W30" s="17" t="str">
        <f>""</f>
        <v/>
      </c>
      <c r="X30" s="4" t="str">
        <f>""</f>
        <v/>
      </c>
      <c r="Y30" s="16" t="str">
        <f>""</f>
        <v/>
      </c>
      <c r="Z30" s="5" t="str">
        <f>""</f>
        <v/>
      </c>
      <c r="AA30" s="4" t="str">
        <f>""</f>
        <v/>
      </c>
      <c r="AB30" s="47">
        <f>IFERROR(AC30/W30,0)</f>
        <v>0</v>
      </c>
      <c r="AC30" s="28" t="str">
        <f>""</f>
        <v/>
      </c>
      <c r="AE30" s="19" t="str">
        <f t="shared" si="5"/>
        <v>-</v>
      </c>
      <c r="AM30" s="19" t="s">
        <v>334</v>
      </c>
    </row>
    <row r="31" spans="1:43" hidden="1">
      <c r="B31" s="1" t="str">
        <f>IF(K31="","Hide","Show")</f>
        <v>Hide</v>
      </c>
      <c r="C31" s="4" t="s">
        <v>45</v>
      </c>
      <c r="E31" s="11" t="str">
        <f>""</f>
        <v/>
      </c>
      <c r="K31" s="4" t="str">
        <f>""</f>
        <v/>
      </c>
      <c r="L31" s="30" t="str">
        <f>""</f>
        <v/>
      </c>
      <c r="M31" s="4" t="str">
        <f>""</f>
        <v/>
      </c>
      <c r="N31" s="4" t="str">
        <f>""</f>
        <v/>
      </c>
      <c r="O31" s="4" t="str">
        <f>""</f>
        <v/>
      </c>
      <c r="P31" s="4" t="str">
        <f>""</f>
        <v/>
      </c>
      <c r="Q31" s="3" t="str">
        <f>""</f>
        <v/>
      </c>
      <c r="R31" s="5"/>
      <c r="S31" s="4" t="str">
        <f>""</f>
        <v/>
      </c>
      <c r="T31" s="4" t="str">
        <f>""</f>
        <v/>
      </c>
      <c r="V31" s="4" t="str">
        <f>""</f>
        <v/>
      </c>
      <c r="W31" s="17" t="str">
        <f>""</f>
        <v/>
      </c>
      <c r="X31" s="4" t="str">
        <f>""</f>
        <v/>
      </c>
      <c r="Y31" s="16" t="str">
        <f>""</f>
        <v/>
      </c>
      <c r="Z31" s="5" t="str">
        <f>""</f>
        <v/>
      </c>
      <c r="AA31" s="4" t="str">
        <f>""</f>
        <v/>
      </c>
      <c r="AB31" s="47">
        <f>IFERROR(AC31/W31,0)</f>
        <v>0</v>
      </c>
      <c r="AC31" s="28" t="str">
        <f>""</f>
        <v/>
      </c>
      <c r="AE31" s="19" t="str">
        <f t="shared" si="5"/>
        <v>-</v>
      </c>
      <c r="AM31" s="19" t="s">
        <v>334</v>
      </c>
    </row>
    <row r="32" spans="1:43">
      <c r="K32" s="19">
        <f t="shared" ref="K32" si="8">MONTH(N32)</f>
        <v>8</v>
      </c>
      <c r="L32" s="19">
        <f t="shared" ref="L32" si="9">YEAR(N32)</f>
        <v>2025</v>
      </c>
      <c r="M32" s="51">
        <v>33039977</v>
      </c>
      <c r="N32" s="14">
        <v>45895</v>
      </c>
      <c r="O32" s="19" t="str">
        <f t="shared" ref="O32" si="10">"S7138270"</f>
        <v>S7138270</v>
      </c>
      <c r="P32" s="4" t="s">
        <v>337</v>
      </c>
      <c r="R32" s="51" t="str">
        <f>"CS0612-SGD"</f>
        <v>CS0612-SGD</v>
      </c>
      <c r="S32" s="51" t="str">
        <f>"ST. ANDREW'S MISSION HOSPITAL"</f>
        <v>ST. ANDREW'S MISSION HOSPITAL</v>
      </c>
      <c r="T32" s="4" t="s">
        <v>336</v>
      </c>
      <c r="U32" s="19">
        <v>959129</v>
      </c>
      <c r="V32" s="42">
        <v>45895</v>
      </c>
      <c r="W32" s="42">
        <v>45895</v>
      </c>
      <c r="X32" s="19">
        <v>0</v>
      </c>
      <c r="Y32" s="19"/>
      <c r="Z32" s="19"/>
      <c r="AA32" s="55" t="str">
        <f>"WENDY KUM CHIOU SZE"</f>
        <v>WENDY KUM CHIOU SZE</v>
      </c>
      <c r="AB32" s="56">
        <v>4</v>
      </c>
      <c r="AC32" s="28">
        <v>3412.91</v>
      </c>
      <c r="AD32" s="54">
        <v>13651.64</v>
      </c>
      <c r="AE32" s="19" t="str">
        <f t="shared" si="5"/>
        <v>-</v>
      </c>
      <c r="AF32" s="54">
        <v>13651.64</v>
      </c>
      <c r="AG32" s="30" t="s">
        <v>72</v>
      </c>
      <c r="AH32" s="46" t="str">
        <f>"BERNARD CHUA_x000D_CHANGI GENERAL HOSPITAL PTE LTD 2 SIMEI STREET 3  SINGAPORE 529889_x000D_BERNARD CHUA_x000D_TEL: _x000D_FAX: _x000D_EMAIL: bernard.chua@synapxe.sg"</f>
        <v>BERNARD CHUA_x000D_CHANGI GENERAL HOSPITAL PTE LTD 2 SIMEI STREET 3  SINGAPORE 529889_x000D_BERNARD CHUA_x000D_TEL: _x000D_FAX: _x000D_EMAIL: bernard.chua@synapxe.sg</v>
      </c>
      <c r="AI32" s="47" t="s">
        <v>73</v>
      </c>
      <c r="AJ32" s="47" t="s">
        <v>74</v>
      </c>
      <c r="AK32" s="52" t="str">
        <f>"MS7NQ-01782GLP"</f>
        <v>MS7NQ-01782GLP</v>
      </c>
      <c r="AL32" s="51" t="str">
        <f>"MS SQL SERVER STANDARD CORE 2022 SLNG 2L"</f>
        <v>MS SQL SERVER STANDARD CORE 2022 SLNG 2L</v>
      </c>
      <c r="AM32" s="19" t="s">
        <v>334</v>
      </c>
      <c r="AN32" s="19" t="str">
        <f t="shared" ref="AN32:AP32" si="11">"-"</f>
        <v>-</v>
      </c>
      <c r="AO32" s="19" t="str">
        <f t="shared" si="11"/>
        <v>-</v>
      </c>
      <c r="AP32" s="19" t="str">
        <f t="shared" si="11"/>
        <v>-</v>
      </c>
      <c r="AQ32" s="47"/>
    </row>
    <row r="33" spans="11:47">
      <c r="K33" s="51"/>
      <c r="L33" s="51"/>
      <c r="M33" s="51"/>
      <c r="N33" s="51"/>
      <c r="AJ33" s="14"/>
    </row>
    <row r="34" spans="11:47">
      <c r="AQ34" s="14"/>
    </row>
    <row r="35" spans="11:47">
      <c r="AR35" s="14"/>
    </row>
    <row r="36" spans="11:47">
      <c r="AS36" s="14"/>
    </row>
    <row r="37" spans="11:47">
      <c r="AT37" s="14"/>
    </row>
    <row r="38" spans="11:47">
      <c r="AU38" s="14"/>
    </row>
  </sheetData>
  <sortState xmlns:xlrd2="http://schemas.microsoft.com/office/spreadsheetml/2017/richdata2" ref="K24:AC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8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9" t="s">
        <v>87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318</v>
      </c>
    </row>
    <row r="4" spans="1:5">
      <c r="A4" s="49" t="s">
        <v>0</v>
      </c>
      <c r="B4" s="49" t="s">
        <v>6</v>
      </c>
      <c r="C4" s="49" t="s">
        <v>319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9" t="s">
        <v>87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318</v>
      </c>
    </row>
    <row r="4" spans="1:5">
      <c r="A4" s="49" t="s">
        <v>0</v>
      </c>
      <c r="B4" s="49" t="s">
        <v>6</v>
      </c>
      <c r="C4" s="49" t="s">
        <v>319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9" t="s">
        <v>165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223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224</v>
      </c>
      <c r="V24" s="49" t="s">
        <v>115</v>
      </c>
      <c r="W24" s="49" t="s">
        <v>116</v>
      </c>
      <c r="X24" s="49" t="s">
        <v>225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226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B25" s="49" t="s">
        <v>130</v>
      </c>
      <c r="C25" s="49" t="s">
        <v>44</v>
      </c>
      <c r="E25" s="49" t="s">
        <v>131</v>
      </c>
      <c r="K25" s="49" t="s">
        <v>132</v>
      </c>
      <c r="L25" s="49" t="s">
        <v>133</v>
      </c>
      <c r="M25" s="49" t="s">
        <v>134</v>
      </c>
      <c r="N25" s="49" t="s">
        <v>135</v>
      </c>
      <c r="O25" s="49" t="s">
        <v>136</v>
      </c>
      <c r="P25" s="49" t="s">
        <v>137</v>
      </c>
      <c r="Q25" s="49" t="s">
        <v>138</v>
      </c>
      <c r="S25" s="49" t="s">
        <v>137</v>
      </c>
      <c r="T25" s="49" t="s">
        <v>139</v>
      </c>
      <c r="V25" s="49" t="s">
        <v>140</v>
      </c>
      <c r="W25" s="49" t="s">
        <v>141</v>
      </c>
      <c r="X25" s="49" t="s">
        <v>142</v>
      </c>
      <c r="Y25" s="49" t="s">
        <v>143</v>
      </c>
      <c r="Z25" s="49" t="s">
        <v>144</v>
      </c>
      <c r="AA25" s="49" t="s">
        <v>145</v>
      </c>
      <c r="AB25" s="49" t="s">
        <v>227</v>
      </c>
      <c r="AC25" s="49" t="s">
        <v>146</v>
      </c>
    </row>
    <row r="26" spans="1:42">
      <c r="B26" s="49" t="s">
        <v>147</v>
      </c>
      <c r="C26" s="49" t="s">
        <v>45</v>
      </c>
      <c r="E26" s="49" t="s">
        <v>148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228</v>
      </c>
      <c r="AC26" s="49" t="s">
        <v>163</v>
      </c>
    </row>
    <row r="28" spans="1:42">
      <c r="AB28" s="49" t="s">
        <v>164</v>
      </c>
      <c r="AC28" s="49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9" t="s">
        <v>165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223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224</v>
      </c>
      <c r="V24" s="49" t="s">
        <v>115</v>
      </c>
      <c r="W24" s="49" t="s">
        <v>116</v>
      </c>
      <c r="X24" s="49" t="s">
        <v>225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226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B25" s="49" t="s">
        <v>130</v>
      </c>
      <c r="C25" s="49" t="s">
        <v>44</v>
      </c>
      <c r="E25" s="49" t="s">
        <v>131</v>
      </c>
      <c r="K25" s="49" t="s">
        <v>132</v>
      </c>
      <c r="L25" s="49" t="s">
        <v>133</v>
      </c>
      <c r="M25" s="49" t="s">
        <v>134</v>
      </c>
      <c r="N25" s="49" t="s">
        <v>135</v>
      </c>
      <c r="O25" s="49" t="s">
        <v>136</v>
      </c>
      <c r="P25" s="49" t="s">
        <v>137</v>
      </c>
      <c r="Q25" s="49" t="s">
        <v>138</v>
      </c>
      <c r="S25" s="49" t="s">
        <v>137</v>
      </c>
      <c r="T25" s="49" t="s">
        <v>139</v>
      </c>
      <c r="V25" s="49" t="s">
        <v>140</v>
      </c>
      <c r="W25" s="49" t="s">
        <v>141</v>
      </c>
      <c r="X25" s="49" t="s">
        <v>142</v>
      </c>
      <c r="Y25" s="49" t="s">
        <v>143</v>
      </c>
      <c r="Z25" s="49" t="s">
        <v>144</v>
      </c>
      <c r="AA25" s="49" t="s">
        <v>145</v>
      </c>
      <c r="AB25" s="49" t="s">
        <v>227</v>
      </c>
      <c r="AC25" s="49" t="s">
        <v>146</v>
      </c>
    </row>
    <row r="26" spans="1:42">
      <c r="B26" s="49" t="s">
        <v>147</v>
      </c>
      <c r="C26" s="49" t="s">
        <v>45</v>
      </c>
      <c r="E26" s="49" t="s">
        <v>148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228</v>
      </c>
      <c r="AC26" s="49" t="s">
        <v>163</v>
      </c>
    </row>
    <row r="28" spans="1:42">
      <c r="AB28" s="49" t="s">
        <v>164</v>
      </c>
      <c r="AC28" s="49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E2D8-DE3F-4C4F-A72F-6B6056139C7E}">
  <dimension ref="A1:E30"/>
  <sheetViews>
    <sheetView workbookViewId="0"/>
  </sheetViews>
  <sheetFormatPr defaultRowHeight="15"/>
  <sheetData>
    <row r="1" spans="1:5">
      <c r="A1" s="49" t="s">
        <v>168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318</v>
      </c>
    </row>
    <row r="4" spans="1:5">
      <c r="A4" s="49" t="s">
        <v>0</v>
      </c>
      <c r="B4" s="49" t="s">
        <v>6</v>
      </c>
      <c r="C4" s="49" t="s">
        <v>319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3E55-CB84-4F18-86D7-A01726D56044}">
  <dimension ref="A1:AP33"/>
  <sheetViews>
    <sheetView workbookViewId="0"/>
  </sheetViews>
  <sheetFormatPr defaultRowHeight="15"/>
  <sheetData>
    <row r="1" spans="1:35">
      <c r="A1" s="49" t="s">
        <v>222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223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224</v>
      </c>
      <c r="V24" s="49" t="s">
        <v>115</v>
      </c>
      <c r="W24" s="49" t="s">
        <v>116</v>
      </c>
      <c r="X24" s="49" t="s">
        <v>225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226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A25" s="49" t="s">
        <v>166</v>
      </c>
      <c r="B25" s="49" t="s">
        <v>130</v>
      </c>
      <c r="C25" s="49" t="s">
        <v>43</v>
      </c>
      <c r="E25" s="49" t="s">
        <v>320</v>
      </c>
      <c r="K25" s="49" t="s">
        <v>170</v>
      </c>
      <c r="L25" s="49" t="s">
        <v>171</v>
      </c>
      <c r="M25" s="49" t="s">
        <v>132</v>
      </c>
      <c r="N25" s="49" t="s">
        <v>133</v>
      </c>
      <c r="O25" s="49" t="s">
        <v>134</v>
      </c>
      <c r="P25" s="49" t="s">
        <v>172</v>
      </c>
      <c r="R25" s="49" t="s">
        <v>135</v>
      </c>
      <c r="S25" s="49" t="s">
        <v>136</v>
      </c>
      <c r="T25" s="49" t="s">
        <v>138</v>
      </c>
      <c r="U25" s="49" t="s">
        <v>145</v>
      </c>
      <c r="V25" s="49" t="s">
        <v>173</v>
      </c>
      <c r="W25" s="49" t="s">
        <v>174</v>
      </c>
      <c r="X25" s="49" t="s">
        <v>230</v>
      </c>
      <c r="Y25" s="49" t="s">
        <v>137</v>
      </c>
      <c r="Z25" s="49" t="s">
        <v>139</v>
      </c>
      <c r="AA25" s="49" t="s">
        <v>140</v>
      </c>
      <c r="AB25" s="49" t="s">
        <v>141</v>
      </c>
      <c r="AC25" s="49" t="s">
        <v>231</v>
      </c>
      <c r="AD25" s="49" t="s">
        <v>146</v>
      </c>
      <c r="AE25" s="49" t="s">
        <v>175</v>
      </c>
      <c r="AF25" s="49" t="s">
        <v>146</v>
      </c>
      <c r="AG25" s="49" t="s">
        <v>72</v>
      </c>
      <c r="AH25" s="49" t="s">
        <v>143</v>
      </c>
      <c r="AI25" s="49" t="s">
        <v>73</v>
      </c>
      <c r="AJ25" s="49" t="s">
        <v>74</v>
      </c>
      <c r="AK25" s="49" t="s">
        <v>176</v>
      </c>
      <c r="AL25" s="49" t="s">
        <v>177</v>
      </c>
      <c r="AM25" s="49" t="s">
        <v>178</v>
      </c>
      <c r="AN25" s="49" t="s">
        <v>179</v>
      </c>
      <c r="AO25" s="49" t="s">
        <v>180</v>
      </c>
      <c r="AP25" s="49" t="s">
        <v>181</v>
      </c>
    </row>
    <row r="26" spans="1:42">
      <c r="A26" s="49" t="s">
        <v>166</v>
      </c>
      <c r="B26" s="49" t="s">
        <v>147</v>
      </c>
      <c r="C26" s="49" t="s">
        <v>43</v>
      </c>
      <c r="E26" s="49" t="s">
        <v>321</v>
      </c>
      <c r="K26" s="49" t="s">
        <v>182</v>
      </c>
      <c r="L26" s="49" t="s">
        <v>183</v>
      </c>
      <c r="M26" s="49" t="s">
        <v>149</v>
      </c>
      <c r="N26" s="49" t="s">
        <v>150</v>
      </c>
      <c r="O26" s="49" t="s">
        <v>151</v>
      </c>
      <c r="P26" s="49" t="s">
        <v>184</v>
      </c>
      <c r="R26" s="49" t="s">
        <v>152</v>
      </c>
      <c r="S26" s="49" t="s">
        <v>153</v>
      </c>
      <c r="T26" s="49" t="s">
        <v>155</v>
      </c>
      <c r="U26" s="49" t="s">
        <v>162</v>
      </c>
      <c r="V26" s="49" t="s">
        <v>185</v>
      </c>
      <c r="W26" s="49" t="s">
        <v>186</v>
      </c>
      <c r="X26" s="49" t="s">
        <v>232</v>
      </c>
      <c r="Y26" s="49" t="s">
        <v>154</v>
      </c>
      <c r="Z26" s="49" t="s">
        <v>156</v>
      </c>
      <c r="AA26" s="49" t="s">
        <v>157</v>
      </c>
      <c r="AB26" s="49" t="s">
        <v>158</v>
      </c>
      <c r="AC26" s="49" t="s">
        <v>233</v>
      </c>
      <c r="AD26" s="49" t="s">
        <v>163</v>
      </c>
      <c r="AE26" s="49" t="s">
        <v>187</v>
      </c>
      <c r="AF26" s="49" t="s">
        <v>163</v>
      </c>
      <c r="AG26" s="49" t="s">
        <v>72</v>
      </c>
      <c r="AH26" s="49" t="s">
        <v>160</v>
      </c>
      <c r="AI26" s="49" t="s">
        <v>73</v>
      </c>
      <c r="AJ26" s="49" t="s">
        <v>74</v>
      </c>
      <c r="AK26" s="49" t="s">
        <v>188</v>
      </c>
      <c r="AL26" s="49" t="s">
        <v>189</v>
      </c>
      <c r="AM26" s="49" t="s">
        <v>190</v>
      </c>
      <c r="AN26" s="49" t="s">
        <v>191</v>
      </c>
      <c r="AO26" s="49" t="s">
        <v>192</v>
      </c>
      <c r="AP26" s="49" t="s">
        <v>193</v>
      </c>
    </row>
    <row r="27" spans="1:42">
      <c r="A27" s="49" t="s">
        <v>166</v>
      </c>
      <c r="B27" s="49" t="s">
        <v>194</v>
      </c>
      <c r="C27" s="49" t="s">
        <v>43</v>
      </c>
      <c r="E27" s="49" t="s">
        <v>322</v>
      </c>
      <c r="K27" s="49" t="s">
        <v>234</v>
      </c>
      <c r="L27" s="49" t="s">
        <v>235</v>
      </c>
      <c r="M27" s="49" t="s">
        <v>195</v>
      </c>
      <c r="N27" s="49" t="s">
        <v>196</v>
      </c>
      <c r="O27" s="49" t="s">
        <v>197</v>
      </c>
      <c r="P27" s="49" t="s">
        <v>236</v>
      </c>
      <c r="R27" s="49" t="s">
        <v>198</v>
      </c>
      <c r="S27" s="49" t="s">
        <v>199</v>
      </c>
      <c r="T27" s="49" t="s">
        <v>201</v>
      </c>
      <c r="U27" s="49" t="s">
        <v>206</v>
      </c>
      <c r="V27" s="49" t="s">
        <v>237</v>
      </c>
      <c r="W27" s="49" t="s">
        <v>238</v>
      </c>
      <c r="X27" s="49" t="s">
        <v>239</v>
      </c>
      <c r="Y27" s="49" t="s">
        <v>200</v>
      </c>
      <c r="Z27" s="49" t="s">
        <v>202</v>
      </c>
      <c r="AA27" s="49" t="s">
        <v>203</v>
      </c>
      <c r="AB27" s="49" t="s">
        <v>204</v>
      </c>
      <c r="AC27" s="49" t="s">
        <v>240</v>
      </c>
      <c r="AD27" s="49" t="s">
        <v>207</v>
      </c>
      <c r="AE27" s="49" t="s">
        <v>241</v>
      </c>
      <c r="AF27" s="49" t="s">
        <v>207</v>
      </c>
      <c r="AG27" s="49" t="s">
        <v>72</v>
      </c>
      <c r="AH27" s="49" t="s">
        <v>205</v>
      </c>
      <c r="AI27" s="49" t="s">
        <v>73</v>
      </c>
      <c r="AJ27" s="49" t="s">
        <v>74</v>
      </c>
      <c r="AK27" s="49" t="s">
        <v>242</v>
      </c>
      <c r="AL27" s="49" t="s">
        <v>243</v>
      </c>
      <c r="AM27" s="49" t="s">
        <v>244</v>
      </c>
      <c r="AN27" s="49" t="s">
        <v>245</v>
      </c>
      <c r="AO27" s="49" t="s">
        <v>246</v>
      </c>
      <c r="AP27" s="49" t="s">
        <v>247</v>
      </c>
    </row>
    <row r="28" spans="1:42">
      <c r="A28" s="49" t="s">
        <v>166</v>
      </c>
      <c r="B28" s="49" t="s">
        <v>208</v>
      </c>
      <c r="C28" s="49" t="s">
        <v>43</v>
      </c>
      <c r="E28" s="49" t="s">
        <v>323</v>
      </c>
      <c r="K28" s="49" t="s">
        <v>248</v>
      </c>
      <c r="L28" s="49" t="s">
        <v>249</v>
      </c>
      <c r="M28" s="49" t="s">
        <v>209</v>
      </c>
      <c r="N28" s="49" t="s">
        <v>210</v>
      </c>
      <c r="O28" s="49" t="s">
        <v>211</v>
      </c>
      <c r="P28" s="49" t="s">
        <v>250</v>
      </c>
      <c r="R28" s="49" t="s">
        <v>212</v>
      </c>
      <c r="S28" s="49" t="s">
        <v>213</v>
      </c>
      <c r="T28" s="49" t="s">
        <v>215</v>
      </c>
      <c r="U28" s="49" t="s">
        <v>220</v>
      </c>
      <c r="V28" s="49" t="s">
        <v>251</v>
      </c>
      <c r="W28" s="49" t="s">
        <v>252</v>
      </c>
      <c r="X28" s="49" t="s">
        <v>253</v>
      </c>
      <c r="Y28" s="49" t="s">
        <v>214</v>
      </c>
      <c r="Z28" s="49" t="s">
        <v>216</v>
      </c>
      <c r="AA28" s="49" t="s">
        <v>217</v>
      </c>
      <c r="AB28" s="49" t="s">
        <v>218</v>
      </c>
      <c r="AC28" s="49" t="s">
        <v>254</v>
      </c>
      <c r="AD28" s="49" t="s">
        <v>221</v>
      </c>
      <c r="AE28" s="49" t="s">
        <v>255</v>
      </c>
      <c r="AF28" s="49" t="s">
        <v>221</v>
      </c>
      <c r="AG28" s="49" t="s">
        <v>72</v>
      </c>
      <c r="AH28" s="49" t="s">
        <v>219</v>
      </c>
      <c r="AI28" s="49" t="s">
        <v>73</v>
      </c>
      <c r="AJ28" s="49" t="s">
        <v>74</v>
      </c>
      <c r="AK28" s="49" t="s">
        <v>256</v>
      </c>
      <c r="AL28" s="49" t="s">
        <v>257</v>
      </c>
      <c r="AM28" s="49" t="s">
        <v>258</v>
      </c>
      <c r="AN28" s="49" t="s">
        <v>259</v>
      </c>
      <c r="AO28" s="49" t="s">
        <v>260</v>
      </c>
      <c r="AP28" s="49" t="s">
        <v>261</v>
      </c>
    </row>
    <row r="29" spans="1:42">
      <c r="A29" s="49" t="s">
        <v>166</v>
      </c>
      <c r="B29" s="49" t="s">
        <v>262</v>
      </c>
      <c r="C29" s="49" t="s">
        <v>43</v>
      </c>
      <c r="E29" s="49" t="s">
        <v>324</v>
      </c>
      <c r="K29" s="49" t="s">
        <v>263</v>
      </c>
      <c r="L29" s="49" t="s">
        <v>264</v>
      </c>
      <c r="M29" s="49" t="s">
        <v>265</v>
      </c>
      <c r="N29" s="49" t="s">
        <v>266</v>
      </c>
      <c r="O29" s="49" t="s">
        <v>267</v>
      </c>
      <c r="P29" s="49" t="s">
        <v>268</v>
      </c>
      <c r="R29" s="49" t="s">
        <v>269</v>
      </c>
      <c r="S29" s="49" t="s">
        <v>270</v>
      </c>
      <c r="T29" s="49" t="s">
        <v>271</v>
      </c>
      <c r="U29" s="49" t="s">
        <v>272</v>
      </c>
      <c r="V29" s="49" t="s">
        <v>273</v>
      </c>
      <c r="W29" s="49" t="s">
        <v>274</v>
      </c>
      <c r="X29" s="49" t="s">
        <v>275</v>
      </c>
      <c r="Y29" s="49" t="s">
        <v>276</v>
      </c>
      <c r="Z29" s="49" t="s">
        <v>277</v>
      </c>
      <c r="AA29" s="49" t="s">
        <v>278</v>
      </c>
      <c r="AB29" s="49" t="s">
        <v>279</v>
      </c>
      <c r="AC29" s="49" t="s">
        <v>280</v>
      </c>
      <c r="AD29" s="49" t="s">
        <v>281</v>
      </c>
      <c r="AE29" s="49" t="s">
        <v>282</v>
      </c>
      <c r="AF29" s="49" t="s">
        <v>281</v>
      </c>
      <c r="AG29" s="49" t="s">
        <v>72</v>
      </c>
      <c r="AH29" s="49" t="s">
        <v>283</v>
      </c>
      <c r="AI29" s="49" t="s">
        <v>73</v>
      </c>
      <c r="AJ29" s="49" t="s">
        <v>74</v>
      </c>
      <c r="AK29" s="49" t="s">
        <v>284</v>
      </c>
      <c r="AL29" s="49" t="s">
        <v>285</v>
      </c>
      <c r="AM29" s="49" t="s">
        <v>286</v>
      </c>
      <c r="AN29" s="49" t="s">
        <v>287</v>
      </c>
      <c r="AO29" s="49" t="s">
        <v>288</v>
      </c>
      <c r="AP29" s="49" t="s">
        <v>289</v>
      </c>
    </row>
    <row r="30" spans="1:42">
      <c r="B30" s="49" t="s">
        <v>290</v>
      </c>
      <c r="C30" s="49" t="s">
        <v>44</v>
      </c>
      <c r="E30" s="49" t="s">
        <v>131</v>
      </c>
      <c r="K30" s="49" t="s">
        <v>291</v>
      </c>
      <c r="L30" s="49" t="s">
        <v>292</v>
      </c>
      <c r="M30" s="49" t="s">
        <v>293</v>
      </c>
      <c r="N30" s="49" t="s">
        <v>294</v>
      </c>
      <c r="O30" s="49" t="s">
        <v>295</v>
      </c>
      <c r="P30" s="49" t="s">
        <v>298</v>
      </c>
      <c r="Q30" s="49" t="s">
        <v>296</v>
      </c>
      <c r="S30" s="49" t="s">
        <v>298</v>
      </c>
      <c r="T30" s="49" t="s">
        <v>299</v>
      </c>
      <c r="V30" s="49" t="s">
        <v>300</v>
      </c>
      <c r="W30" s="49" t="s">
        <v>301</v>
      </c>
      <c r="X30" s="49" t="s">
        <v>325</v>
      </c>
      <c r="Y30" s="49" t="s">
        <v>303</v>
      </c>
      <c r="Z30" s="49" t="s">
        <v>326</v>
      </c>
      <c r="AA30" s="49" t="s">
        <v>297</v>
      </c>
      <c r="AB30" s="49" t="s">
        <v>327</v>
      </c>
      <c r="AC30" s="49" t="s">
        <v>302</v>
      </c>
    </row>
    <row r="31" spans="1:42">
      <c r="B31" s="49" t="s">
        <v>304</v>
      </c>
      <c r="C31" s="49" t="s">
        <v>45</v>
      </c>
      <c r="E31" s="49" t="s">
        <v>148</v>
      </c>
      <c r="K31" s="49" t="s">
        <v>305</v>
      </c>
      <c r="L31" s="49" t="s">
        <v>306</v>
      </c>
      <c r="M31" s="49" t="s">
        <v>307</v>
      </c>
      <c r="N31" s="49" t="s">
        <v>308</v>
      </c>
      <c r="O31" s="49" t="s">
        <v>309</v>
      </c>
      <c r="P31" s="49" t="s">
        <v>312</v>
      </c>
      <c r="Q31" s="49" t="s">
        <v>310</v>
      </c>
      <c r="S31" s="49" t="s">
        <v>312</v>
      </c>
      <c r="T31" s="49" t="s">
        <v>313</v>
      </c>
      <c r="V31" s="49" t="s">
        <v>314</v>
      </c>
      <c r="W31" s="49" t="s">
        <v>315</v>
      </c>
      <c r="X31" s="49" t="s">
        <v>328</v>
      </c>
      <c r="Y31" s="49" t="s">
        <v>317</v>
      </c>
      <c r="Z31" s="49" t="s">
        <v>329</v>
      </c>
      <c r="AA31" s="49" t="s">
        <v>311</v>
      </c>
      <c r="AB31" s="49" t="s">
        <v>330</v>
      </c>
      <c r="AC31" s="49" t="s">
        <v>316</v>
      </c>
    </row>
    <row r="33" spans="28:29">
      <c r="AB33" s="49" t="s">
        <v>331</v>
      </c>
      <c r="AC33" s="49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2025-09-03T03:51:56Z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