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YUENFUN\XLS\NUHS Cluster (Monthly Report)\2025\"/>
    </mc:Choice>
  </mc:AlternateContent>
  <xr:revisionPtr revIDLastSave="0" documentId="8_{264FB993-C67A-42E3-BCE0-CFB09E73BA4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2" l="1"/>
  <c r="E24" i="2" l="1"/>
  <c r="K24" i="2"/>
  <c r="L24" i="2"/>
  <c r="O24" i="2"/>
  <c r="P24" i="2"/>
  <c r="R24" i="2"/>
  <c r="T24" i="2"/>
  <c r="U24" i="2"/>
  <c r="X24" i="2"/>
  <c r="Y24" i="2"/>
  <c r="Z24" i="2"/>
  <c r="AA24" i="2"/>
  <c r="AC24" i="2"/>
  <c r="AE24" i="2"/>
  <c r="AH24" i="2"/>
  <c r="AI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E25" i="2"/>
  <c r="AH25" i="2"/>
  <c r="AI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E26" i="2"/>
  <c r="AF26" i="2"/>
  <c r="AG26" i="2"/>
  <c r="E27" i="2"/>
  <c r="K27" i="2"/>
  <c r="L27" i="2"/>
  <c r="O27" i="2"/>
  <c r="Q27" i="2"/>
  <c r="R27" i="2"/>
  <c r="S27" i="2"/>
  <c r="T27" i="2"/>
  <c r="Y27" i="2"/>
  <c r="Z27" i="2"/>
  <c r="AA27" i="2"/>
  <c r="AB27" i="2"/>
  <c r="AC27" i="2"/>
  <c r="AF27" i="2"/>
  <c r="AG27" i="2"/>
  <c r="D5" i="1"/>
  <c r="B9" i="17"/>
  <c r="B8" i="17"/>
  <c r="B7" i="17"/>
  <c r="E14" i="2"/>
  <c r="H6" i="2"/>
  <c r="H5" i="2"/>
  <c r="H4" i="2"/>
  <c r="E2" i="2"/>
  <c r="D15" i="1"/>
  <c r="C13" i="1" s="1"/>
  <c r="E16" i="2" s="1"/>
  <c r="D14" i="1"/>
  <c r="D13" i="1"/>
  <c r="C12" i="1"/>
  <c r="E15" i="2" s="1"/>
  <c r="C11" i="1"/>
  <c r="C10" i="1"/>
  <c r="E13" i="2" s="1"/>
  <c r="C9" i="1"/>
  <c r="E11" i="2" s="1"/>
  <c r="C8" i="1"/>
  <c r="C5" i="1"/>
  <c r="E12" i="2" s="1"/>
  <c r="C4" i="1"/>
  <c r="C3" i="1"/>
  <c r="B25" i="2" l="1"/>
  <c r="D5" i="2"/>
  <c r="I6" i="2"/>
  <c r="D4" i="2"/>
  <c r="E4" i="2" s="1"/>
  <c r="I5" i="2"/>
  <c r="E5" i="2" s="1"/>
  <c r="D6" i="2"/>
  <c r="E6" i="2" l="1"/>
  <c r="B26" i="2"/>
  <c r="B27" i="2"/>
  <c r="B24" i="2"/>
</calcChain>
</file>

<file path=xl/sharedStrings.xml><?xml version="1.0" encoding="utf-8"?>
<sst xmlns="http://schemas.openxmlformats.org/spreadsheetml/2006/main" count="926" uniqueCount="235">
  <si>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</si>
  <si>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</si>
  <si>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</si>
  <si>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</si>
  <si>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</si>
  <si>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</si>
  <si>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</si>
  <si>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</si>
  <si>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</si>
  <si>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</si>
  <si>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</si>
  <si>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</si>
  <si>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</si>
  <si>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</si>
  <si>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</si>
  <si>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</si>
  <si>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</si>
  <si>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</si>
  <si>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</si>
  <si>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</si>
  <si>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</si>
  <si>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</si>
  <si>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</si>
  <si>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</si>
  <si>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</si>
  <si>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</si>
  <si>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</si>
  <si>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</si>
  <si>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</si>
  <si>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</si>
  <si>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</si>
  <si>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</si>
  <si>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</si>
  <si>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</si>
  <si>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</si>
  <si>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</si>
  <si>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</si>
  <si>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</si>
  <si>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</si>
  <si>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</si>
  <si>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</si>
  <si>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</si>
  <si>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</si>
  <si>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</si>
  <si>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</si>
  <si>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</si>
  <si>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</si>
  <si>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</si>
  <si>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</si>
  <si>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</si>
  <si>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</si>
  <si>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</si>
  <si>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</si>
  <si>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</si>
  <si>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</si>
  <si>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</si>
  <si>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</si>
  <si>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</si>
  <si>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</si>
  <si>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</si>
  <si>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</si>
  <si>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</si>
  <si>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</si>
  <si>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</si>
  <si>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</si>
  <si>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</si>
  <si>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</si>
  <si>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</si>
  <si>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</si>
  <si>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</si>
  <si>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</si>
  <si>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</si>
  <si>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</si>
  <si>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</si>
  <si>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</si>
  <si>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</si>
  <si>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</si>
  <si>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</si>
  <si>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</si>
  <si>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</si>
  <si>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</si>
  <si>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</si>
  <si>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</si>
  <si>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</si>
  <si>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</si>
  <si>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</si>
  <si>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</si>
  <si>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</si>
  <si>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</si>
  <si>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</si>
  <si>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</si>
  <si>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</si>
  <si>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</si>
  <si>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</si>
  <si>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</si>
  <si>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</si>
  <si>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</si>
  <si>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</si>
  <si>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</si>
  <si>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</si>
  <si>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</si>
  <si>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</si>
  <si>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</si>
  <si>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</si>
  <si>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</si>
  <si>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</si>
  <si>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</si>
  <si>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</si>
  <si>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</si>
  <si>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</si>
  <si>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</si>
  <si>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</si>
  <si>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</si>
  <si>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</si>
  <si>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</si>
  <si>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</si>
  <si>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</si>
  <si>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</si>
  <si>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</si>
  <si>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</si>
  <si>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</si>
  <si>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</si>
  <si>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</si>
  <si>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</si>
  <si>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</si>
  <si>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</si>
  <si>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</si>
  <si>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</si>
  <si>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</si>
  <si>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</si>
  <si>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</si>
  <si>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</si>
  <si>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</si>
  <si>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</si>
  <si>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</si>
  <si>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</si>
  <si>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</si>
  <si>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</si>
  <si>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</si>
  <si>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</si>
  <si>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</si>
  <si>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</si>
  <si>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</si>
  <si>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</si>
  <si>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</si>
  <si>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</si>
  <si>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</si>
  <si>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</si>
  <si>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</si>
  <si>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</si>
  <si>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</si>
  <si>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</si>
  <si>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</si>
  <si>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</si>
  <si>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</si>
  <si>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</si>
  <si>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</si>
  <si>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</si>
  <si>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</si>
  <si>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</si>
  <si>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</si>
  <si>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</si>
  <si>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</si>
  <si>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</si>
  <si>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</si>
  <si>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</si>
  <si>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</si>
  <si>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</si>
  <si>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</si>
  <si>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</si>
  <si>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</si>
  <si>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</si>
  <si>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</si>
  <si>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</si>
  <si>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</si>
  <si>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</si>
  <si>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</si>
  <si>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</si>
  <si>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</si>
  <si>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</si>
  <si>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</si>
  <si>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</si>
  <si>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</si>
  <si>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</si>
  <si>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</si>
  <si>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</si>
  <si>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</si>
  <si>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</si>
  <si>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</si>
  <si>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</si>
  <si>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</si>
  <si>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</si>
  <si>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</si>
  <si>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</si>
  <si>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</si>
  <si>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</si>
  <si>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</si>
  <si>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</si>
  <si>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=IFERROR(NF($E26,"ADDRESS2"),"-")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</si>
  <si>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</si>
  <si>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</si>
  <si>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</si>
  <si>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</si>
  <si>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</si>
  <si>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</si>
  <si>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</si>
  <si>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</si>
  <si>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</si>
  <si>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</si>
  <si>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</si>
  <si>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</si>
  <si>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</si>
  <si>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</si>
  <si>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</si>
  <si>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</si>
  <si>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</si>
  <si>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</si>
  <si>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</si>
  <si>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</si>
  <si>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</si>
  <si>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=IFERROR(NF($E27,"U_PONO"),"-")</t>
  </si>
  <si>
    <t>=IFERROR(AE27/AB27,0)</t>
  </si>
  <si>
    <t>="01/08/2025"</t>
  </si>
  <si>
    <t>="31/08/2025"</t>
  </si>
  <si>
    <t>="""UICACS"","""",""SQL="",""2=DOCNUM"",""33039778"",""14=CUSTREF"",""7452007165"",""14=U_CUSTREF"",""7452007165"",""15=DOCDATE"",""14/8/2025"",""15=TAXDATE"",""14/8/2025"",""14=CARDCODE"",""CN0245-SGD"",""14=CARDNAME"",""NATIONAL UNIVERSITY HEALTH SYSTEM PTE. LTD."",""14=ITEMCODE"",""MS7JQ-00"&amp;"353GLP"",""14=ITEMNAME"",""MS SQL SERVER ENTERPRISE CORE SLNG LSA 2L"",""10=QUANTITY"",""2.000000"",""14=U_PONO"",""958839"",""15=U_PODATE"",""12/8/2025"",""10=U_TLINTCOS"",""0.000000"",""2=SLPCODE"",""101"",""14=SLPNAME"",""E0001-MM"",""14=MEMO"",""MELIZA MARQUEZ"",""14=CONTACTNAME"",""E-I"&amp;"NVOICE(AP DIRECT)"",""10=LINETOTAL"",""42004.580000"",""14=U_ENR"","""",""14=U_MSENR"",""S7138270"",""14=U_MSPCN"",""AB57EDFE"",""14=ADDRESS2"",""AIO-INNOVATION OFFICE_x000D_NATIONAL UNIVERSITY HEALTH SYSTEM PTE LTD Tower Block, 1E KENT RIDGE ROAD  SINGAPORE 119228_x000D_Jennis Kua_x000D_TEL:"&amp;" 91382743_x000D_FAX: _x000D_EMAIL: jennis_kua@nuhs.edu.sg"""</t>
  </si>
  <si>
    <t>=IFERROR(NF($E27,"U_PODATE"),"-")</t>
  </si>
  <si>
    <t>=SUBTOTAL(9,AD24:AD28)</t>
  </si>
  <si>
    <t>=SUBTOTAL(9,AE24:AE28)</t>
  </si>
  <si>
    <t>NUHS Cluster</t>
  </si>
  <si>
    <t>Software Assurance</t>
  </si>
  <si>
    <t xml:space="preserve"> 01 Aug 2025</t>
  </si>
  <si>
    <t>27 Months PRORATION</t>
  </si>
  <si>
    <t>26 Months PRORATION</t>
  </si>
  <si>
    <t xml:space="preserve"> 01 Sep 2025</t>
  </si>
  <si>
    <t xml:space="preserve">UIC 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</si>
</sst>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  <numFmt numFmtId="168" formatCode="[$-14809]d\ mmm\ yyyy;@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rgb="FF1111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top"/>
    </xf>
    <xf numFmtId="167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/>
    <xf numFmtId="40" fontId="12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1" fontId="0" fillId="2" borderId="0" xfId="0" applyNumberFormat="1" applyFill="1" applyAlignment="1">
      <alignment vertical="top"/>
    </xf>
    <xf numFmtId="1" fontId="4" fillId="0" borderId="0" xfId="1" applyNumberFormat="1" applyFont="1" applyAlignment="1">
      <alignment horizontal="center" vertical="top"/>
    </xf>
    <xf numFmtId="1" fontId="11" fillId="3" borderId="0" xfId="0" applyNumberFormat="1" applyFont="1" applyFill="1" applyAlignment="1">
      <alignment horizontal="center" vertical="center" wrapText="1"/>
    </xf>
    <xf numFmtId="168" fontId="0" fillId="2" borderId="0" xfId="0" applyNumberFormat="1" applyFill="1" applyAlignment="1">
      <alignment vertical="top"/>
    </xf>
    <xf numFmtId="168" fontId="0" fillId="2" borderId="0" xfId="0" applyNumberFormat="1" applyFill="1" applyAlignment="1">
      <alignment horizontal="center" vertical="top"/>
    </xf>
    <xf numFmtId="168" fontId="0" fillId="0" borderId="0" xfId="0" applyNumberFormat="1" applyAlignment="1">
      <alignment vertical="top"/>
    </xf>
    <xf numFmtId="168" fontId="0" fillId="0" borderId="0" xfId="0" applyNumberFormat="1" applyAlignment="1">
      <alignment horizontal="center" vertical="top"/>
    </xf>
    <xf numFmtId="168" fontId="0" fillId="6" borderId="0" xfId="0" applyNumberFormat="1" applyFill="1" applyAlignment="1">
      <alignment vertical="top"/>
    </xf>
    <xf numFmtId="168" fontId="0" fillId="6" borderId="0" xfId="0" applyNumberFormat="1" applyFill="1" applyAlignment="1">
      <alignment horizontal="center" vertical="top"/>
    </xf>
    <xf numFmtId="168" fontId="11" fillId="3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/>
    </xf>
    <xf numFmtId="0" fontId="8" fillId="0" borderId="0" xfId="1" applyFont="1" applyAlignment="1">
      <alignment horizontal="center" vertical="top"/>
    </xf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left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"01/08/2025"</f>
        <v>01/08/2025</v>
      </c>
    </row>
    <row r="4" spans="1:6">
      <c r="A4" s="1" t="s">
        <v>0</v>
      </c>
      <c r="B4" s="4" t="s">
        <v>6</v>
      </c>
      <c r="C4" s="5" t="str">
        <f>"31/08/2025"</f>
        <v>31/08/2025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01/Aug/2025..31/Aug/2025</v>
      </c>
    </row>
    <row r="9" spans="1:6">
      <c r="A9" s="1" t="s">
        <v>9</v>
      </c>
      <c r="C9" s="3" t="str">
        <f>TEXT($C$3,"yyyyMMdd") &amp; ".." &amp; TEXT($C$4,"yyyyMMdd")</f>
        <v>20250801..20250831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1490-CDD6-4D26-BB2E-1130AFDFDEF9}">
  <dimension ref="A1:AT29"/>
  <sheetViews>
    <sheetView workbookViewId="0"/>
  </sheetViews>
  <sheetFormatPr defaultRowHeight="15"/>
  <sheetData>
    <row r="1" spans="1:46">
      <c r="A1" s="65" t="s">
        <v>212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213</v>
      </c>
      <c r="V24" s="65" t="s">
        <v>135</v>
      </c>
      <c r="W24" s="65" t="s">
        <v>136</v>
      </c>
      <c r="X24" s="65" t="s">
        <v>214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215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A25" s="65" t="s">
        <v>184</v>
      </c>
      <c r="B25" s="65" t="s">
        <v>149</v>
      </c>
      <c r="C25" s="65" t="s">
        <v>48</v>
      </c>
      <c r="E25" s="65" t="s">
        <v>224</v>
      </c>
      <c r="K25" s="65" t="s">
        <v>188</v>
      </c>
      <c r="L25" s="65" t="s">
        <v>189</v>
      </c>
      <c r="M25" s="65" t="s">
        <v>151</v>
      </c>
      <c r="N25" s="65" t="s">
        <v>152</v>
      </c>
      <c r="O25" s="65" t="s">
        <v>153</v>
      </c>
      <c r="P25" s="65" t="s">
        <v>190</v>
      </c>
      <c r="Q25" s="65" t="s">
        <v>78</v>
      </c>
      <c r="R25" s="65" t="s">
        <v>154</v>
      </c>
      <c r="S25" s="65" t="s">
        <v>155</v>
      </c>
      <c r="T25" s="65" t="s">
        <v>157</v>
      </c>
      <c r="U25" s="65" t="s">
        <v>165</v>
      </c>
      <c r="V25" s="65" t="s">
        <v>191</v>
      </c>
      <c r="W25" s="65" t="s">
        <v>192</v>
      </c>
      <c r="X25" s="65" t="s">
        <v>219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216</v>
      </c>
      <c r="AE25" s="65" t="s">
        <v>162</v>
      </c>
      <c r="AF25" s="65" t="s">
        <v>193</v>
      </c>
      <c r="AG25" s="65" t="s">
        <v>162</v>
      </c>
      <c r="AH25" s="65" t="s">
        <v>93</v>
      </c>
      <c r="AI25" s="65" t="s">
        <v>163</v>
      </c>
      <c r="AJ25" s="65" t="s">
        <v>78</v>
      </c>
      <c r="AK25" s="65" t="s">
        <v>94</v>
      </c>
      <c r="AL25" s="65" t="s">
        <v>156</v>
      </c>
      <c r="AM25" s="65" t="s">
        <v>158</v>
      </c>
      <c r="AN25" s="65" t="s">
        <v>194</v>
      </c>
      <c r="AO25" s="65" t="s">
        <v>195</v>
      </c>
      <c r="AP25" s="65" t="s">
        <v>196</v>
      </c>
      <c r="AQ25" s="65" t="s">
        <v>197</v>
      </c>
    </row>
    <row r="26" spans="1:43">
      <c r="B26" s="65" t="s">
        <v>166</v>
      </c>
      <c r="C26" s="65" t="s">
        <v>49</v>
      </c>
      <c r="E26" s="65" t="s">
        <v>150</v>
      </c>
      <c r="K26" s="65" t="s">
        <v>168</v>
      </c>
      <c r="L26" s="65" t="s">
        <v>169</v>
      </c>
      <c r="O26" s="65" t="s">
        <v>170</v>
      </c>
      <c r="Q26" s="65" t="s">
        <v>171</v>
      </c>
      <c r="R26" s="65" t="s">
        <v>172</v>
      </c>
      <c r="S26" s="65" t="s">
        <v>173</v>
      </c>
      <c r="T26" s="65" t="s">
        <v>174</v>
      </c>
      <c r="V26" s="65" t="s">
        <v>78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217</v>
      </c>
      <c r="AE26" s="65" t="s">
        <v>179</v>
      </c>
      <c r="AI26" s="65" t="s">
        <v>198</v>
      </c>
      <c r="AJ26" s="65" t="s">
        <v>180</v>
      </c>
      <c r="AK26" s="65" t="s">
        <v>181</v>
      </c>
    </row>
    <row r="27" spans="1:43">
      <c r="B27" s="65" t="s">
        <v>199</v>
      </c>
      <c r="C27" s="65" t="s">
        <v>50</v>
      </c>
      <c r="E27" s="65" t="s">
        <v>167</v>
      </c>
      <c r="K27" s="65" t="s">
        <v>200</v>
      </c>
      <c r="L27" s="65" t="s">
        <v>201</v>
      </c>
      <c r="O27" s="65" t="s">
        <v>202</v>
      </c>
      <c r="Q27" s="65" t="s">
        <v>203</v>
      </c>
      <c r="R27" s="65" t="s">
        <v>204</v>
      </c>
      <c r="S27" s="65" t="s">
        <v>206</v>
      </c>
      <c r="T27" s="65" t="s">
        <v>205</v>
      </c>
      <c r="V27" s="65" t="s">
        <v>78</v>
      </c>
      <c r="Y27" s="65" t="s">
        <v>206</v>
      </c>
      <c r="Z27" s="65" t="s">
        <v>207</v>
      </c>
      <c r="AA27" s="65" t="s">
        <v>208</v>
      </c>
      <c r="AB27" s="65" t="s">
        <v>209</v>
      </c>
      <c r="AC27" s="65" t="s">
        <v>210</v>
      </c>
      <c r="AD27" s="65" t="s">
        <v>221</v>
      </c>
      <c r="AE27" s="65" t="s">
        <v>211</v>
      </c>
      <c r="AJ27" s="65" t="s">
        <v>225</v>
      </c>
      <c r="AK27" s="65" t="s">
        <v>220</v>
      </c>
    </row>
    <row r="29" spans="1:43">
      <c r="AD29" s="65" t="s">
        <v>226</v>
      </c>
      <c r="AE29" s="65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6"/>
  <sheetViews>
    <sheetView tabSelected="1" topLeftCell="K19" zoomScale="85" zoomScaleNormal="85" workbookViewId="0">
      <selection activeCell="Y44" sqref="Y41:Y44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45" style="4" bestFit="1" customWidth="1"/>
    <col min="20" max="20" width="15.140625" style="3" bestFit="1" customWidth="1"/>
    <col min="21" max="21" width="15.140625" style="3" customWidth="1"/>
    <col min="22" max="22" width="10.7109375" style="3" bestFit="1" customWidth="1"/>
    <col min="23" max="23" width="13.140625" style="4" customWidth="1"/>
    <col min="24" max="24" width="26.42578125" style="19" customWidth="1"/>
    <col min="25" max="25" width="29" style="4" customWidth="1"/>
    <col min="26" max="26" width="18" style="4" customWidth="1"/>
    <col min="27" max="27" width="17" style="4" bestFit="1" customWidth="1"/>
    <col min="28" max="28" width="10.5703125" style="4" bestFit="1" customWidth="1"/>
    <col min="29" max="29" width="28.140625" style="19" customWidth="1"/>
    <col min="30" max="30" width="10.5703125" style="4" customWidth="1"/>
    <col min="31" max="31" width="30.5703125" style="3" customWidth="1"/>
    <col min="32" max="32" width="10.7109375" style="4" bestFit="1" customWidth="1"/>
    <col min="33" max="33" width="18.28515625" style="4" bestFit="1" customWidth="1"/>
    <col min="34" max="34" width="20.7109375" style="4" customWidth="1"/>
    <col min="35" max="35" width="44.140625" style="38" customWidth="1"/>
    <col min="36" max="36" width="33.5703125" style="38" customWidth="1"/>
    <col min="37" max="37" width="29.5703125" style="71" customWidth="1"/>
    <col min="38" max="38" width="29.140625" style="72" customWidth="1"/>
    <col min="39" max="39" width="19" style="21" customWidth="1"/>
    <col min="40" max="40" width="20" style="21" hidden="1" customWidth="1"/>
    <col min="41" max="42" width="9.28515625" style="4" hidden="1" customWidth="1"/>
    <col min="43" max="16384" width="9.28515625" style="4"/>
  </cols>
  <sheetData>
    <row r="1" spans="1:42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X1" s="66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E1" s="2"/>
      <c r="AF1" s="1" t="s">
        <v>18</v>
      </c>
      <c r="AG1" s="1" t="s">
        <v>18</v>
      </c>
      <c r="AI1" s="37"/>
      <c r="AJ1" s="37"/>
      <c r="AK1" s="69"/>
      <c r="AL1" s="70"/>
      <c r="AM1" s="22"/>
      <c r="AN1" s="22" t="s">
        <v>7</v>
      </c>
      <c r="AO1" s="1" t="s">
        <v>7</v>
      </c>
      <c r="AP1" s="1" t="s">
        <v>7</v>
      </c>
    </row>
    <row r="2" spans="1:42" hidden="1">
      <c r="A2" s="1" t="s">
        <v>7</v>
      </c>
      <c r="D2" s="4" t="s">
        <v>19</v>
      </c>
      <c r="E2" s="4" t="str">
        <f>Option!$C$2</f>
        <v>UICACS</v>
      </c>
    </row>
    <row r="3" spans="1:4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4" t="s">
        <v>96</v>
      </c>
      <c r="G4" s="4" t="s">
        <v>25</v>
      </c>
      <c r="H4" s="4" t="str">
        <f>" ORDER BY DOCNUM, DOCDATE"</f>
        <v xml:space="preserve"> ORDER BY DOCNUM, DOCDATE</v>
      </c>
    </row>
    <row r="5" spans="1:4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4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4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7</v>
      </c>
    </row>
    <row r="8" spans="1:42" hidden="1">
      <c r="A8" s="1" t="s">
        <v>7</v>
      </c>
      <c r="K8" s="45"/>
    </row>
    <row r="9" spans="1:42" hidden="1">
      <c r="A9" s="1" t="s">
        <v>7</v>
      </c>
      <c r="K9" s="45"/>
    </row>
    <row r="10" spans="1:42" hidden="1">
      <c r="A10" s="1" t="s">
        <v>7</v>
      </c>
    </row>
    <row r="11" spans="1:42" hidden="1">
      <c r="A11" s="1" t="s">
        <v>7</v>
      </c>
      <c r="C11" s="4" t="s">
        <v>27</v>
      </c>
      <c r="E11" s="4" t="str">
        <f>Option!$C$9</f>
        <v>20250801..20250831</v>
      </c>
      <c r="K11" s="45"/>
    </row>
    <row r="12" spans="1:42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2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2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2" hidden="1">
      <c r="A15" s="1" t="s">
        <v>7</v>
      </c>
      <c r="C15" s="4" t="s">
        <v>43</v>
      </c>
      <c r="E15" s="4" t="str">
        <f>Option!$C$12</f>
        <v>'MS'</v>
      </c>
      <c r="AG15" s="15"/>
    </row>
    <row r="16" spans="1:42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6" hidden="1">
      <c r="A17" s="1" t="s">
        <v>7</v>
      </c>
    </row>
    <row r="18" spans="1:46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X18" s="29"/>
      <c r="AC18" s="29"/>
      <c r="AE18" s="28"/>
      <c r="AI18" s="39"/>
      <c r="AJ18" s="39"/>
      <c r="AK18" s="73"/>
      <c r="AL18" s="74"/>
      <c r="AM18" s="26"/>
      <c r="AN18" s="26"/>
    </row>
    <row r="20" spans="1:46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67"/>
      <c r="Y20" s="20"/>
      <c r="Z20" s="20"/>
      <c r="AA20" s="20"/>
      <c r="AB20" s="20"/>
      <c r="AC20" s="20"/>
      <c r="AD20" s="20"/>
      <c r="AE20" s="23"/>
      <c r="AF20" s="20"/>
      <c r="AG20" s="20"/>
      <c r="AH20" s="20"/>
    </row>
    <row r="21" spans="1:46" s="43" customFormat="1" ht="18.75">
      <c r="A21" s="42"/>
      <c r="B21" s="42"/>
      <c r="I21" s="44"/>
      <c r="K21" s="77" t="s">
        <v>228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</row>
    <row r="22" spans="1:46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67"/>
      <c r="Y22" s="20"/>
      <c r="Z22" s="20"/>
      <c r="AA22" s="20"/>
      <c r="AB22" s="20"/>
      <c r="AC22" s="20"/>
      <c r="AD22" s="20"/>
      <c r="AE22" s="23"/>
      <c r="AF22" s="20"/>
      <c r="AG22" s="20"/>
      <c r="AH22" s="20"/>
    </row>
    <row r="23" spans="1:46" s="54" customFormat="1" ht="31.5">
      <c r="A23" s="53"/>
      <c r="B23" s="53"/>
      <c r="E23" s="55" t="s">
        <v>29</v>
      </c>
      <c r="I23" s="56"/>
      <c r="K23" s="50" t="s">
        <v>75</v>
      </c>
      <c r="L23" s="50" t="s">
        <v>76</v>
      </c>
      <c r="M23" s="50" t="s">
        <v>14</v>
      </c>
      <c r="N23" s="50" t="s">
        <v>16</v>
      </c>
      <c r="O23" s="57" t="s">
        <v>30</v>
      </c>
      <c r="P23" s="49" t="s">
        <v>33</v>
      </c>
      <c r="Q23" s="49" t="s">
        <v>77</v>
      </c>
      <c r="R23" s="50" t="s">
        <v>31</v>
      </c>
      <c r="S23" s="49" t="s">
        <v>38</v>
      </c>
      <c r="T23" s="49" t="s">
        <v>34</v>
      </c>
      <c r="U23" s="50" t="s">
        <v>234</v>
      </c>
      <c r="V23" s="50" t="s">
        <v>17</v>
      </c>
      <c r="W23" s="50" t="s">
        <v>79</v>
      </c>
      <c r="X23" s="68" t="s">
        <v>80</v>
      </c>
      <c r="Y23" s="51" t="s">
        <v>36</v>
      </c>
      <c r="Z23" s="58" t="s">
        <v>12</v>
      </c>
      <c r="AA23" s="58" t="s">
        <v>32</v>
      </c>
      <c r="AB23" s="49" t="s">
        <v>13</v>
      </c>
      <c r="AC23" s="49" t="s">
        <v>37</v>
      </c>
      <c r="AD23" s="49" t="s">
        <v>83</v>
      </c>
      <c r="AE23" s="49" t="s">
        <v>84</v>
      </c>
      <c r="AF23" s="49" t="s">
        <v>85</v>
      </c>
      <c r="AG23" s="49" t="s">
        <v>86</v>
      </c>
      <c r="AH23" s="51" t="s">
        <v>87</v>
      </c>
      <c r="AI23" s="52" t="s">
        <v>88</v>
      </c>
      <c r="AJ23" s="52" t="s">
        <v>89</v>
      </c>
      <c r="AK23" s="75" t="s">
        <v>90</v>
      </c>
      <c r="AL23" s="75" t="s">
        <v>91</v>
      </c>
      <c r="AM23" s="52" t="s">
        <v>92</v>
      </c>
      <c r="AN23" s="52"/>
    </row>
    <row r="24" spans="1:46">
      <c r="B24" s="1" t="str">
        <f>IF(K24="","Hide","Show")</f>
        <v>Show</v>
      </c>
      <c r="C24" s="4" t="s">
        <v>48</v>
      </c>
      <c r="E24" s="12" t="str">
        <f>"""UICACS"","""",""SQL="",""2=DOCNUM"",""33039697"",""14=CUSTREF"",""7568001796"",""14=U_CUSTREF"",""7568001796"",""15=DOCDATE"",""6/8/2025"",""15=TAXDATE"",""6/8/2025"",""14=CARDCODE"",""CN0449-SGD"",""14=CARDNAME"",""NATIONAL UNIVERSITY POLYCLINICS"",""14=ITEMCODE"",""MS7JQ-00353GLP"",""14=IT"&amp;"EMNAME"",""MS SQL SERVER ENTERPRISE CORE SLNG LSA 2L"",""10=QUANTITY"",""2.000000"",""14=U_PONO"",""958686"",""15=U_PODATE"","""",""10=U_TLINTCOS"",""0.000000"",""2=SLPCODE"",""101"",""14=SLPNAME"",""E0001-MM"",""14=MEMO"",""MELIZA MARQUEZ"",""14=CONTACTNAME"",""nup_mmd@nuhs.edu.sg"",""10=L"&amp;"INETOTAL"",""41237.140000"",""14=U_ENR"","""",""14=U_MSENR"",""S7138270"",""14=U_MSPCN"",""AB57EDFE"",""14=ADDRESS2"",""SANGGIVI RAMAMURTHI_x000D_NATIONAL UNIVERSITY POLYCLINICS 1 JURONG EAST STREET 21  SINGAPORE 609606_x000D_Sanggivi Ramamurthi_x000D_TEL: 67163080_x000D_FAX: _x000D_EMAIL: sanggivi.ram"&amp;"amurthi@synapxe.sg"""</f>
        <v>"UICACS","","SQL=","2=DOCNUM","33039697","14=CUSTREF","7568001796","14=U_CUSTREF","7568001796","15=DOCDATE","6/8/2025","15=TAXDATE","6/8/2025","14=CARDCODE","CN0449-SGD","14=CARDNAME","NATIONAL UNIVERSITY POLYCLINICS","14=ITEMCODE","MS7JQ-00353GLP","14=ITEMNAME","MS SQL SERVER ENTERPRISE CORE SLNG LSA 2L","10=QUANTITY","2.000000","14=U_PONO","958686","15=U_PODATE","","10=U_TLINTCOS","0.000000","2=SLPCODE","101","14=SLPNAME","E0001-MM","14=MEMO","MELIZA MARQUEZ","14=CONTACTNAME","nup_mmd@nuhs.edu.sg","10=LINETOTAL","41237.140000","14=U_ENR","","14=U_MSENR","S7138270","14=U_MSPCN","AB57EDFE","14=ADDRESS2","SANGGIVI RAMAMURTHI_x000D_NATIONAL UNIVERSITY POLYCLINICS 1 JURONG EAST STREET 21  SINGAPORE 609606_x000D_Sanggivi Ramamurthi_x000D_TEL: 67163080_x000D_FAX: _x000D_EMAIL: sanggivi.ramamurthi@synapxe.sg"</v>
      </c>
      <c r="K24" s="21">
        <f>MONTH(N24)</f>
        <v>8</v>
      </c>
      <c r="L24" s="21">
        <f>YEAR(N24)</f>
        <v>2025</v>
      </c>
      <c r="M24" s="21">
        <v>33039697</v>
      </c>
      <c r="N24" s="41">
        <v>45875</v>
      </c>
      <c r="O24" s="21" t="str">
        <f>"S7138270"</f>
        <v>S7138270</v>
      </c>
      <c r="P24" s="4" t="str">
        <f>"AB57EDFE"</f>
        <v>AB57EDFE</v>
      </c>
      <c r="Q24" s="4" t="s">
        <v>78</v>
      </c>
      <c r="R24" s="4" t="str">
        <f>"CN0449-SGD"</f>
        <v>CN0449-SGD</v>
      </c>
      <c r="S24" s="4" t="str">
        <f>"NATIONAL UNIVERSITY POLYCLINICS"</f>
        <v>NATIONAL UNIVERSITY POLYCLINICS</v>
      </c>
      <c r="T24" s="3" t="str">
        <f>"7568001796"</f>
        <v>7568001796</v>
      </c>
      <c r="U24" s="3" t="str">
        <f>"958686"</f>
        <v>958686</v>
      </c>
      <c r="V24" s="47">
        <v>45874</v>
      </c>
      <c r="W24" s="47">
        <v>45875</v>
      </c>
      <c r="X24" s="48">
        <f>SUM(N24-V24)</f>
        <v>1</v>
      </c>
      <c r="Y24" s="48" t="str">
        <f>"MS7JQ-00353GLP"</f>
        <v>MS7JQ-00353GLP</v>
      </c>
      <c r="Z24" s="4" t="str">
        <f>"MS SQL SERVER ENTERPRISE CORE SLNG LSA 2L"</f>
        <v>MS SQL SERVER ENTERPRISE CORE SLNG LSA 2L</v>
      </c>
      <c r="AA24" s="4" t="str">
        <f>"MELIZA MARQUEZ"</f>
        <v>MELIZA MARQUEZ</v>
      </c>
      <c r="AB24" s="59">
        <v>2</v>
      </c>
      <c r="AC24" s="48" t="str">
        <f>"nup_mmd@nuhs.edu.sg"</f>
        <v>nup_mmd@nuhs.edu.sg</v>
      </c>
      <c r="AD24" s="63" t="s">
        <v>93</v>
      </c>
      <c r="AE24" s="78" t="str">
        <f>"SANGGIVI RAMAMURTHI_x000D_NATIONAL UNIVERSITY POLYCLINICS 1 JURONG EAST STREET 21  SINGAPORE 609606_x000D_Sanggivi Ramamurthi_x000D_TEL: 67163080_x000D_FAX: _x000D_EMAIL: sanggivi.ramamurthi@synapxe.sg"</f>
        <v>SANGGIVI RAMAMURTHI_x000D_NATIONAL UNIVERSITY POLYCLINICS 1 JURONG EAST STREET 21  SINGAPORE 609606_x000D_Sanggivi Ramamurthi_x000D_TEL: 67163080_x000D_FAX: _x000D_EMAIL: sanggivi.ramamurthi@synapxe.sg</v>
      </c>
      <c r="AF24" s="60" t="s">
        <v>78</v>
      </c>
      <c r="AG24" s="5" t="s">
        <v>94</v>
      </c>
      <c r="AH24" s="4" t="str">
        <f>"MS7JQ-00353GLP"</f>
        <v>MS7JQ-00353GLP</v>
      </c>
      <c r="AI24" s="4" t="str">
        <f>"MS SQL SERVER ENTERPRISE CORE SLNG LSA 2L"</f>
        <v>MS SQL SERVER ENTERPRISE CORE SLNG LSA 2L</v>
      </c>
      <c r="AJ24" s="61" t="s">
        <v>231</v>
      </c>
      <c r="AK24" s="71" t="s">
        <v>230</v>
      </c>
      <c r="AL24" s="72">
        <v>46691</v>
      </c>
      <c r="AM24" s="76" t="s">
        <v>229</v>
      </c>
    </row>
    <row r="25" spans="1:46">
      <c r="A25" s="1" t="s">
        <v>184</v>
      </c>
      <c r="B25" s="1" t="str">
        <f>IF(K25="","Hide","Show")</f>
        <v>Show</v>
      </c>
      <c r="C25" s="4" t="s">
        <v>48</v>
      </c>
      <c r="E25" s="12" t="str">
        <f>"""UICACS"","""",""SQL="",""2=DOCNUM"",""33039778"",""14=CUSTREF"",""7452007165"",""14=U_CUSTREF"",""7452007165"",""15=DOCDATE"",""14/8/2025"",""15=TAXDATE"",""14/8/2025"",""14=CARDCODE"",""CN0245-SGD"",""14=CARDNAME"",""NATIONAL UNIVERSITY HEALTH SYSTEM PTE. LTD."",""14=ITEMCODE"",""MS7JQ-00"&amp;"353GLP"",""14=ITEMNAME"",""MS SQL SERVER ENTERPRISE CORE SLNG LSA 2L"",""10=QUANTITY"",""2.000000"",""14=U_PONO"",""958839"",""15=U_PODATE"",""12/8/2025"",""10=U_TLINTCOS"",""0.000000"",""2=SLPCODE"",""101"",""14=SLPNAME"",""E0001-MM"",""14=MEMO"",""MELIZA MARQUEZ"",""14=CONTACTNAME"",""E-I"&amp;"NVOICE(AP DIRECT)"",""10=LINETOTAL"",""42004.580000"",""14=U_ENR"","""",""14=U_MSENR"",""S7138270"",""14=U_MSPCN"",""AB57EDFE"",""14=ADDRESS2"",""AIO-INNOVATION OFFICE_x000D_NATIONAL UNIVERSITY HEALTH SYSTEM PTE LTD Tower Block, 1E KENT RIDGE ROAD  SINGAPORE 119228_x000D_Jennis Kua_x000D_TEL:"&amp;" 91382743_x000D_FAX: _x000D_EMAIL: jennis_kua@nuhs.edu.sg"""</f>
        <v>"UICACS","","SQL=","2=DOCNUM","33039778","14=CUSTREF","7452007165","14=U_CUSTREF","7452007165","15=DOCDATE","14/8/2025","15=TAXDATE","14/8/2025","14=CARDCODE","CN0245-SGD","14=CARDNAME","NATIONAL UNIVERSITY HEALTH SYSTEM PTE. LTD.","14=ITEMCODE","MS7JQ-00353GLP","14=ITEMNAME","MS SQL SERVER ENTERPRISE CORE SLNG LSA 2L","10=QUANTITY","2.000000","14=U_PONO","958839","15=U_PODATE","12/8/2025","10=U_TLINTCOS","0.000000","2=SLPCODE","101","14=SLPNAME","E0001-MM","14=MEMO","MELIZA MARQUEZ","14=CONTACTNAME","E-INVOICE(AP DIRECT)","10=LINETOTAL","42004.580000","14=U_ENR","","14=U_MSENR","S7138270","14=U_MSPCN","AB57EDFE","14=ADDRESS2","AIO-INNOVATION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25" s="21">
        <f>MONTH(N25)</f>
        <v>8</v>
      </c>
      <c r="L25" s="21">
        <f>YEAR(N25)</f>
        <v>2025</v>
      </c>
      <c r="M25" s="21">
        <v>33039778</v>
      </c>
      <c r="N25" s="41">
        <v>45883</v>
      </c>
      <c r="O25" s="21" t="str">
        <f>"S7138270"</f>
        <v>S7138270</v>
      </c>
      <c r="P25" s="4" t="str">
        <f>"AB57EDFE"</f>
        <v>AB57EDFE</v>
      </c>
      <c r="Q25" s="4" t="s">
        <v>78</v>
      </c>
      <c r="R25" s="4" t="str">
        <f>"CN0245-SGD"</f>
        <v>CN0245-SGD</v>
      </c>
      <c r="S25" s="4" t="str">
        <f>"NATIONAL UNIVERSITY HEALTH SYSTEM PTE. LTD."</f>
        <v>NATIONAL UNIVERSITY HEALTH SYSTEM PTE. LTD.</v>
      </c>
      <c r="T25" s="3" t="str">
        <f>"7452007165"</f>
        <v>7452007165</v>
      </c>
      <c r="U25" s="3" t="str">
        <f>"958839"</f>
        <v>958839</v>
      </c>
      <c r="V25" s="47">
        <v>45881</v>
      </c>
      <c r="W25" s="47">
        <v>45883</v>
      </c>
      <c r="X25" s="48">
        <f>SUM(N25-V25)</f>
        <v>2</v>
      </c>
      <c r="Y25" s="48" t="str">
        <f>"MS7JQ-00353GLP"</f>
        <v>MS7JQ-00353GLP</v>
      </c>
      <c r="Z25" s="4" t="str">
        <f>"MS SQL SERVER ENTERPRISE CORE SLNG LSA 2L"</f>
        <v>MS SQL SERVER ENTERPRISE CORE SLNG LSA 2L</v>
      </c>
      <c r="AA25" s="4" t="str">
        <f>"MELIZA MARQUEZ"</f>
        <v>MELIZA MARQUEZ</v>
      </c>
      <c r="AB25" s="59">
        <v>2</v>
      </c>
      <c r="AC25" s="48" t="str">
        <f>"E-INVOICE(AP DIRECT)"</f>
        <v>E-INVOICE(AP DIRECT)</v>
      </c>
      <c r="AD25" s="63" t="s">
        <v>93</v>
      </c>
      <c r="AE25" s="78" t="str">
        <f>"AIO-INNOVATION OFFICE_x000D_NATIONAL UNIVERSITY HEALTH SYSTEM PTE LTD Tower Block, 1E KENT RIDGE ROAD  SINGAPORE 119228_x000D_Jennis Kua_x000D_TEL: 91382743_x000D_FAX: _x000D_EMAIL: jennis_kua@nuhs.edu.sg"</f>
        <v>AIO-INNOVATION OFFICE_x000D_NATIONAL UNIVERSITY HEALTH SYSTEM PTE LTD Tower Block, 1E KENT RIDGE ROAD  SINGAPORE 119228_x000D_Jennis Kua_x000D_TEL: 91382743_x000D_FAX: _x000D_EMAIL: jennis_kua@nuhs.edu.sg</v>
      </c>
      <c r="AF25" s="60" t="s">
        <v>78</v>
      </c>
      <c r="AG25" s="5" t="s">
        <v>94</v>
      </c>
      <c r="AH25" s="4" t="str">
        <f>"MS7JQ-00353GLP"</f>
        <v>MS7JQ-00353GLP</v>
      </c>
      <c r="AI25" s="4" t="str">
        <f>"MS SQL SERVER ENTERPRISE CORE SLNG LSA 2L"</f>
        <v>MS SQL SERVER ENTERPRISE CORE SLNG LSA 2L</v>
      </c>
      <c r="AJ25" s="61" t="s">
        <v>232</v>
      </c>
      <c r="AK25" s="71" t="s">
        <v>233</v>
      </c>
      <c r="AL25" s="72">
        <v>46691</v>
      </c>
      <c r="AM25" s="76" t="s">
        <v>229</v>
      </c>
    </row>
    <row r="26" spans="1:46" hidden="1">
      <c r="B26" s="1" t="str">
        <f>IF(K26="","Hide","Show")</f>
        <v>Hide</v>
      </c>
      <c r="C26" s="4" t="s">
        <v>49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0"/>
      <c r="AE26" s="79" t="str">
        <f>""</f>
        <v/>
      </c>
      <c r="AF26" s="17" t="str">
        <f>""</f>
        <v/>
      </c>
      <c r="AG26" s="5" t="str">
        <f>""</f>
        <v/>
      </c>
    </row>
    <row r="27" spans="1:46" hidden="1">
      <c r="B27" s="1" t="str">
        <f>IF(K27="","Hide","Show")</f>
        <v>Hide</v>
      </c>
      <c r="C27" s="4" t="s">
        <v>50</v>
      </c>
      <c r="E27" s="12" t="str">
        <f>""</f>
        <v/>
      </c>
      <c r="K27" s="21" t="str">
        <f>""</f>
        <v/>
      </c>
      <c r="L27" s="41" t="str">
        <f>""</f>
        <v/>
      </c>
      <c r="M27" s="5"/>
      <c r="N27" s="41"/>
      <c r="O27" s="4" t="str">
        <f>""</f>
        <v/>
      </c>
      <c r="P27" s="4"/>
      <c r="Q27" s="4" t="str">
        <f>""</f>
        <v/>
      </c>
      <c r="R27" s="4" t="str">
        <f>""</f>
        <v/>
      </c>
      <c r="S27" s="4" t="str">
        <f>""</f>
        <v/>
      </c>
      <c r="T27" s="3" t="str">
        <f>""</f>
        <v/>
      </c>
      <c r="V27" s="3" t="s">
        <v>78</v>
      </c>
      <c r="W27" s="5"/>
      <c r="Y27" s="5" t="str">
        <f>""</f>
        <v/>
      </c>
      <c r="Z27" s="4" t="str">
        <f>""</f>
        <v/>
      </c>
      <c r="AA27" s="4" t="str">
        <f>""</f>
        <v/>
      </c>
      <c r="AB27" s="4" t="str">
        <f>""</f>
        <v/>
      </c>
      <c r="AC27" s="19" t="str">
        <f>""</f>
        <v/>
      </c>
      <c r="AD27" s="40"/>
      <c r="AE27" s="79"/>
      <c r="AF27" s="17" t="str">
        <f>""</f>
        <v/>
      </c>
      <c r="AG27" s="5" t="str">
        <f>""</f>
        <v/>
      </c>
    </row>
    <row r="28" spans="1:46">
      <c r="AD28" s="40"/>
      <c r="AG28" s="5"/>
    </row>
    <row r="29" spans="1:46">
      <c r="AQ29" s="15"/>
    </row>
    <row r="30" spans="1:46">
      <c r="AR30" s="15"/>
    </row>
    <row r="31" spans="1:46">
      <c r="AS31" s="15"/>
    </row>
    <row r="32" spans="1:46">
      <c r="AT32" s="15"/>
    </row>
    <row r="33" spans="47:50">
      <c r="AU33" s="15"/>
    </row>
    <row r="34" spans="47:50">
      <c r="AV34" s="15"/>
    </row>
    <row r="35" spans="47:50">
      <c r="AW35" s="15"/>
    </row>
    <row r="36" spans="47:50">
      <c r="AX36" s="15"/>
    </row>
  </sheetData>
  <sortState xmlns:xlrd2="http://schemas.microsoft.com/office/spreadsheetml/2017/richdata2" ref="A24:AT24">
    <sortCondition ref="M24"/>
  </sortState>
  <mergeCells count="1">
    <mergeCell ref="K21:A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2" t="s">
        <v>95</v>
      </c>
      <c r="C6" s="62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5" t="s">
        <v>107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222</v>
      </c>
    </row>
    <row r="4" spans="1:5">
      <c r="A4" s="65" t="s">
        <v>0</v>
      </c>
      <c r="B4" s="65" t="s">
        <v>6</v>
      </c>
      <c r="C4" s="65" t="s">
        <v>223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5" t="s">
        <v>107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222</v>
      </c>
    </row>
    <row r="4" spans="1:5">
      <c r="A4" s="65" t="s">
        <v>0</v>
      </c>
      <c r="B4" s="65" t="s">
        <v>6</v>
      </c>
      <c r="C4" s="65" t="s">
        <v>223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5" t="s">
        <v>183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213</v>
      </c>
      <c r="V24" s="65" t="s">
        <v>135</v>
      </c>
      <c r="W24" s="65" t="s">
        <v>136</v>
      </c>
      <c r="X24" s="65" t="s">
        <v>214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215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B25" s="65" t="s">
        <v>149</v>
      </c>
      <c r="C25" s="65" t="s">
        <v>49</v>
      </c>
      <c r="E25" s="65" t="s">
        <v>150</v>
      </c>
      <c r="K25" s="65" t="s">
        <v>151</v>
      </c>
      <c r="L25" s="65" t="s">
        <v>152</v>
      </c>
      <c r="O25" s="65" t="s">
        <v>153</v>
      </c>
      <c r="Q25" s="65" t="s">
        <v>154</v>
      </c>
      <c r="R25" s="65" t="s">
        <v>155</v>
      </c>
      <c r="S25" s="65" t="s">
        <v>156</v>
      </c>
      <c r="T25" s="65" t="s">
        <v>157</v>
      </c>
      <c r="V25" s="65" t="s">
        <v>78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216</v>
      </c>
      <c r="AE25" s="65" t="s">
        <v>162</v>
      </c>
      <c r="AI25" s="65" t="s">
        <v>163</v>
      </c>
      <c r="AJ25" s="65" t="s">
        <v>164</v>
      </c>
      <c r="AK25" s="65" t="s">
        <v>165</v>
      </c>
    </row>
    <row r="26" spans="1:43">
      <c r="B26" s="65" t="s">
        <v>166</v>
      </c>
      <c r="C26" s="65" t="s">
        <v>50</v>
      </c>
      <c r="E26" s="65" t="s">
        <v>167</v>
      </c>
      <c r="K26" s="65" t="s">
        <v>168</v>
      </c>
      <c r="L26" s="65" t="s">
        <v>169</v>
      </c>
      <c r="O26" s="65" t="s">
        <v>170</v>
      </c>
      <c r="Q26" s="65" t="s">
        <v>171</v>
      </c>
      <c r="R26" s="65" t="s">
        <v>172</v>
      </c>
      <c r="S26" s="65" t="s">
        <v>173</v>
      </c>
      <c r="T26" s="65" t="s">
        <v>174</v>
      </c>
      <c r="V26" s="65" t="s">
        <v>78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217</v>
      </c>
      <c r="AE26" s="65" t="s">
        <v>179</v>
      </c>
      <c r="AJ26" s="65" t="s">
        <v>180</v>
      </c>
      <c r="AK26" s="65" t="s">
        <v>181</v>
      </c>
    </row>
    <row r="28" spans="1:43">
      <c r="AD28" s="65" t="s">
        <v>182</v>
      </c>
      <c r="AE28" s="65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5" t="s">
        <v>183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213</v>
      </c>
      <c r="V24" s="65" t="s">
        <v>135</v>
      </c>
      <c r="W24" s="65" t="s">
        <v>136</v>
      </c>
      <c r="X24" s="65" t="s">
        <v>214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215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B25" s="65" t="s">
        <v>149</v>
      </c>
      <c r="C25" s="65" t="s">
        <v>49</v>
      </c>
      <c r="E25" s="65" t="s">
        <v>150</v>
      </c>
      <c r="K25" s="65" t="s">
        <v>151</v>
      </c>
      <c r="L25" s="65" t="s">
        <v>152</v>
      </c>
      <c r="O25" s="65" t="s">
        <v>153</v>
      </c>
      <c r="Q25" s="65" t="s">
        <v>154</v>
      </c>
      <c r="R25" s="65" t="s">
        <v>155</v>
      </c>
      <c r="S25" s="65" t="s">
        <v>156</v>
      </c>
      <c r="T25" s="65" t="s">
        <v>157</v>
      </c>
      <c r="V25" s="65" t="s">
        <v>78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216</v>
      </c>
      <c r="AE25" s="65" t="s">
        <v>162</v>
      </c>
      <c r="AI25" s="65" t="s">
        <v>163</v>
      </c>
      <c r="AJ25" s="65" t="s">
        <v>164</v>
      </c>
      <c r="AK25" s="65" t="s">
        <v>165</v>
      </c>
    </row>
    <row r="26" spans="1:43">
      <c r="B26" s="65" t="s">
        <v>166</v>
      </c>
      <c r="C26" s="65" t="s">
        <v>50</v>
      </c>
      <c r="E26" s="65" t="s">
        <v>167</v>
      </c>
      <c r="K26" s="65" t="s">
        <v>168</v>
      </c>
      <c r="L26" s="65" t="s">
        <v>169</v>
      </c>
      <c r="O26" s="65" t="s">
        <v>170</v>
      </c>
      <c r="Q26" s="65" t="s">
        <v>171</v>
      </c>
      <c r="R26" s="65" t="s">
        <v>172</v>
      </c>
      <c r="S26" s="65" t="s">
        <v>173</v>
      </c>
      <c r="T26" s="65" t="s">
        <v>174</v>
      </c>
      <c r="V26" s="65" t="s">
        <v>78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217</v>
      </c>
      <c r="AE26" s="65" t="s">
        <v>179</v>
      </c>
      <c r="AJ26" s="65" t="s">
        <v>180</v>
      </c>
      <c r="AK26" s="65" t="s">
        <v>181</v>
      </c>
    </row>
    <row r="28" spans="1:43">
      <c r="AD28" s="65" t="s">
        <v>182</v>
      </c>
      <c r="AE28" s="65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A093-23BC-4776-8DB3-A4A6FA7236BB}">
  <dimension ref="A1:E15"/>
  <sheetViews>
    <sheetView workbookViewId="0"/>
  </sheetViews>
  <sheetFormatPr defaultRowHeight="15"/>
  <sheetData>
    <row r="1" spans="1:5">
      <c r="A1" s="65" t="s">
        <v>186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222</v>
      </c>
    </row>
    <row r="4" spans="1:5">
      <c r="A4" s="65" t="s">
        <v>0</v>
      </c>
      <c r="B4" s="65" t="s">
        <v>6</v>
      </c>
      <c r="C4" s="65" t="s">
        <v>223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2025-09-03T09:47:06Z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