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YUENFUN\XLS\IHIS MONTHLY REPORT\2025\"/>
    </mc:Choice>
  </mc:AlternateContent>
  <xr:revisionPtr revIDLastSave="0" documentId="13_ncr:1_{D37213DA-970F-4023-A120-BDE7BC1B99A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6" i="2" l="1"/>
  <c r="AB27" i="2"/>
  <c r="AB28" i="2"/>
  <c r="Z26" i="2"/>
  <c r="Z27" i="2"/>
  <c r="Z28" i="2"/>
  <c r="R28" i="2"/>
  <c r="Q28" i="2"/>
  <c r="P28" i="2"/>
  <c r="O28" i="2"/>
  <c r="U28" i="2"/>
  <c r="L28" i="2"/>
  <c r="K28" i="2"/>
  <c r="E24" i="2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C24" i="2"/>
  <c r="AE24" i="2"/>
  <c r="AH24" i="2"/>
  <c r="AK24" i="2"/>
  <c r="AL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C25" i="2"/>
  <c r="AE25" i="2"/>
  <c r="AH25" i="2"/>
  <c r="AK25" i="2"/>
  <c r="AL25" i="2"/>
  <c r="E26" i="2"/>
  <c r="M26" i="2"/>
  <c r="N26" i="2"/>
  <c r="O26" i="2"/>
  <c r="Q26" i="2"/>
  <c r="R26" i="2"/>
  <c r="T26" i="2"/>
  <c r="U26" i="2"/>
  <c r="X26" i="2"/>
  <c r="Y26" i="2"/>
  <c r="AA26" i="2"/>
  <c r="AD26" i="2"/>
  <c r="AC26" i="2" s="1"/>
  <c r="AH26" i="2"/>
  <c r="AL26" i="2"/>
  <c r="AM26" i="2"/>
  <c r="E27" i="2"/>
  <c r="M27" i="2"/>
  <c r="N27" i="2"/>
  <c r="O27" i="2"/>
  <c r="Q27" i="2"/>
  <c r="R27" i="2"/>
  <c r="T27" i="2"/>
  <c r="U27" i="2"/>
  <c r="X27" i="2"/>
  <c r="Y27" i="2"/>
  <c r="AA27" i="2"/>
  <c r="AD27" i="2"/>
  <c r="AC27" i="2" s="1"/>
  <c r="AL27" i="2"/>
  <c r="AM27" i="2"/>
  <c r="D5" i="1"/>
  <c r="B25" i="2"/>
  <c r="E12" i="2"/>
  <c r="H6" i="2"/>
  <c r="H5" i="2"/>
  <c r="H4" i="2"/>
  <c r="E2" i="2"/>
  <c r="D13" i="1"/>
  <c r="C13" i="1" s="1"/>
  <c r="E16" i="2" s="1"/>
  <c r="C12" i="1"/>
  <c r="E15" i="2" s="1"/>
  <c r="C11" i="1"/>
  <c r="E14" i="2" s="1"/>
  <c r="C10" i="1"/>
  <c r="E13" i="2" s="1"/>
  <c r="C5" i="1"/>
  <c r="C4" i="1"/>
  <c r="C3" i="1"/>
  <c r="C9" i="1" s="1"/>
  <c r="E11" i="2" s="1"/>
  <c r="D6" i="2" l="1"/>
  <c r="D4" i="2"/>
  <c r="E4" i="2" s="1"/>
  <c r="D5" i="2"/>
  <c r="I5" i="2"/>
  <c r="I6" i="2"/>
  <c r="C8" i="1"/>
  <c r="E6" i="2" l="1"/>
  <c r="B27" i="2"/>
  <c r="B24" i="2"/>
  <c r="E5" i="2"/>
  <c r="B26" i="2" l="1"/>
</calcChain>
</file>

<file path=xl/sharedStrings.xml><?xml version="1.0" encoding="utf-8"?>
<sst xmlns="http://schemas.openxmlformats.org/spreadsheetml/2006/main" count="906" uniqueCount="239">
  <si>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</si>
  <si>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</si>
  <si>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</si>
  <si>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</si>
  <si>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</si>
  <si>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</si>
  <si>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</si>
  <si>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</si>
  <si>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</si>
  <si>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</si>
  <si>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</si>
  <si>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</si>
  <si>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</si>
  <si>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</si>
  <si>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</si>
  <si>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</si>
  <si>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</si>
  <si>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</si>
  <si>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</si>
  <si>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</si>
  <si>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</si>
  <si>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</si>
  <si>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</si>
  <si>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</si>
  <si>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</si>
  <si>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</si>
  <si>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</si>
  <si>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</si>
  <si>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</si>
  <si>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</si>
  <si>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</si>
  <si>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</si>
  <si>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</si>
  <si>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</si>
  <si>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</si>
  <si>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</si>
  <si>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</si>
  <si>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</si>
  <si>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</si>
  <si>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</si>
  <si>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</si>
  <si>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</si>
  <si>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</si>
  <si>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</si>
  <si>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</si>
  <si>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</si>
  <si>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</si>
  <si>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</si>
  <si>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</si>
  <si>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</si>
  <si>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</si>
  <si>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</si>
  <si>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</si>
  <si>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</si>
  <si>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</si>
  <si>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</si>
  <si>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</si>
  <si>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</si>
  <si>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</si>
  <si>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</si>
  <si>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</si>
  <si>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</si>
  <si>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</si>
  <si>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</si>
  <si>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</si>
  <si>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</si>
  <si>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</si>
  <si>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</si>
  <si>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</si>
  <si>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</si>
  <si>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</si>
  <si>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</si>
  <si>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</si>
  <si>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</si>
  <si>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</si>
  <si>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</si>
  <si>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</si>
  <si>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</si>
  <si>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</si>
  <si>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</si>
  <si>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</si>
  <si>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</si>
  <si>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</si>
  <si>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</si>
  <si>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</si>
  <si>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</si>
  <si>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</si>
  <si>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</si>
  <si>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</si>
  <si>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</si>
  <si>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</si>
  <si>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</si>
  <si>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</si>
  <si>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</si>
  <si>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</si>
  <si>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</si>
  <si>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</si>
  <si>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</si>
  <si>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</si>
  <si>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</si>
  <si>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</si>
  <si>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</si>
  <si>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</si>
  <si>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</si>
  <si>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</si>
  <si>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</si>
  <si>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</si>
  <si>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</si>
  <si>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</si>
  <si>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</si>
  <si>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</si>
  <si>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</si>
  <si>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</si>
  <si>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</si>
  <si>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</si>
  <si>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</si>
  <si>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</si>
  <si>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</si>
  <si>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</si>
  <si>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</si>
  <si>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</si>
  <si>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</si>
  <si>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</si>
  <si>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</si>
  <si>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</si>
  <si>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</si>
  <si>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</si>
  <si>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</si>
  <si>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</si>
  <si>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</si>
  <si>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</si>
  <si>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</si>
  <si>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</si>
  <si>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</si>
  <si>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</si>
  <si>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</si>
  <si>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</si>
  <si>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</si>
  <si>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</si>
  <si>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</si>
  <si>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</si>
  <si>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</si>
  <si>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</si>
  <si>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=IF(M27="","Hide","Show")</t>
  </si>
  <si>
    <t>=IFERROR(AD27/AA27,0)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</si>
  <si>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</si>
  <si>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</si>
  <si>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</si>
  <si>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</si>
  <si>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</si>
  <si>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</si>
  <si>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</si>
  <si>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</si>
  <si>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</si>
  <si>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</si>
  <si>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</si>
  <si>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</si>
  <si>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</si>
  <si>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</si>
  <si>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</si>
  <si>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</si>
  <si>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</si>
  <si>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</si>
  <si>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</si>
  <si>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</si>
  <si>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</si>
  <si>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</si>
  <si>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</si>
  <si>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</si>
  <si>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</si>
  <si>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</si>
  <si>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</si>
  <si>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</si>
  <si>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</si>
  <si>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</si>
  <si>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</si>
  <si>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</si>
  <si>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</si>
  <si>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</si>
  <si>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</si>
  <si>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</si>
  <si>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</si>
  <si>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</si>
  <si>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</si>
  <si>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</si>
  <si>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</si>
  <si>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</si>
  <si>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</si>
  <si>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</si>
  <si>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</si>
  <si>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</si>
  <si>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</si>
  <si>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</si>
  <si>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</si>
  <si>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</si>
  <si>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=IFERROR(NF($E26,"U_CUSTREF"),"-")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</si>
  <si>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</si>
  <si>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</si>
  <si>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</si>
  <si>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</si>
  <si>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</si>
  <si>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</si>
  <si>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=IFERROR(NF($E26,"ADDRESS2"),"-")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</si>
  <si>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</si>
  <si>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</si>
  <si>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</si>
  <si>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</si>
  <si>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</si>
  <si>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</si>
  <si>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</si>
  <si>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</si>
  <si>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</si>
  <si>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</si>
  <si>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</si>
  <si>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</si>
  <si>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</si>
  <si>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</si>
  <si>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</si>
  <si>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</si>
  <si>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</si>
  <si>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="01/08/2025"</t>
  </si>
  <si>
    <t>="31/08/2025"</t>
  </si>
  <si>
    <t>="""UICACS"","""",""SQL="",""2=DOCNUM"",""33039784"",""14=CUSTREF"",""7100000168"",""14=U_CUSTREF"",""7100000168"",""15=DOCDATE"",""14/8/2025"",""15=TAXDATE"",""14/8/2025"",""14=CARDCODE"",""CI0099-SGD"",""14=CARDNAME"",""SYNAPXE PTE. LTD."",""14=ITEMCODE"",""MS7JQ-00353GLP"",""14=ITEMNAME"",""MS "&amp;"SQL SERVER ENTERPRISE CORE SLNG LSA 2L"",""10=QUANTITY"",""2.000000"",""14=U_PONO"",""958849"",""15=U_PODATE"",""13/8/2025"",""10=U_TLINTCOS"",""0.000000"",""2=SLPCODE"",""132"",""14=SLPNAME"",""E0001-CS"",""14=MEMO"",""WENDY KUM CHIOU SZE"",""14=CONTACTNAME"",""E-INVOICE(AP DIRECT)"",""1"&amp;"0=LINETOTAL"",""45086.340000"",""14=U_ENR"","""",""14=U_MSENR"",""S7138270"",""14=U_MSPCN"",""AD5A91AA"",""14=ADDRESS2"",""EMMY CHIT_x000D_SYNAPXE PTE. LTD. 1 NORTH BUNONA VISTA LINK, #05-01 ELEMENTUM SINGAPORE 139691_x000D_EMMY CHIT_x000D_TEL: _x000D_FAX: _x000D_EMAIL: emmy.aye.zaw@synapxe.sg"""</t>
  </si>
  <si>
    <t>=IFERROR(NF($E27,"U_CUSTREF"),"-")</t>
  </si>
  <si>
    <t>=IFERROR(NF($E27,"U_PODATE"),"-")</t>
  </si>
  <si>
    <t>=IFERROR(NF($E27,"U_PONO"),"-")</t>
  </si>
  <si>
    <t>=SUBTOTAL(9,AO24:AO28)</t>
  </si>
  <si>
    <t>=SUBTOTAL(9,AP24:AP28)</t>
  </si>
  <si>
    <t>PO RECEIVED ON 11 JULY 2025. LICENSE USAGE IN 1ST WEEK AUG  2025</t>
  </si>
  <si>
    <t>LICENSE WITH SA</t>
  </si>
  <si>
    <t>01.09.2025</t>
  </si>
  <si>
    <t>30.06.2028</t>
  </si>
  <si>
    <t>NIL</t>
  </si>
  <si>
    <t>UIC PO No</t>
  </si>
  <si>
    <t>JOHNNY LIM</t>
  </si>
  <si>
    <t>MS9EA-00263GLP</t>
  </si>
  <si>
    <t>MS WIN SERVER DC CORE SLNG LSA 16L</t>
  </si>
  <si>
    <t>01.07.2025</t>
  </si>
  <si>
    <t xml:space="preserve">CUSTOMER REQUEST TO PARTIAL RETURN 16 LICENSES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</si>
</sst>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65" fontId="11" fillId="3" borderId="0" xfId="2" applyNumberFormat="1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167" fontId="0" fillId="0" borderId="0" xfId="0" applyNumberFormat="1" applyAlignment="1">
      <alignment horizontal="center" vertical="top"/>
    </xf>
    <xf numFmtId="40" fontId="13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5" fillId="0" borderId="0" xfId="0" applyNumberFormat="1" applyFont="1" applyAlignment="1">
      <alignment vertical="top"/>
    </xf>
    <xf numFmtId="0" fontId="0" fillId="0" borderId="0" xfId="0" quotePrefix="1"/>
    <xf numFmtId="0" fontId="8" fillId="0" borderId="0" xfId="1" applyFont="1" applyAlignment="1">
      <alignment horizontal="center" vertical="top"/>
    </xf>
    <xf numFmtId="0" fontId="16" fillId="2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7" fillId="0" borderId="0" xfId="0" applyFont="1"/>
    <xf numFmtId="166" fontId="17" fillId="0" borderId="0" xfId="0" applyNumberFormat="1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/>
    </xf>
    <xf numFmtId="1" fontId="16" fillId="0" borderId="0" xfId="0" applyNumberFormat="1" applyFont="1" applyAlignment="1">
      <alignment horizontal="center" vertical="top"/>
    </xf>
    <xf numFmtId="40" fontId="16" fillId="0" borderId="0" xfId="2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167" fontId="16" fillId="0" borderId="0" xfId="0" applyNumberFormat="1" applyFont="1" applyAlignment="1">
      <alignment horizontal="center" vertical="top"/>
    </xf>
    <xf numFmtId="166" fontId="16" fillId="0" borderId="0" xfId="0" applyNumberFormat="1" applyFont="1" applyAlignment="1">
      <alignment vertical="top"/>
    </xf>
    <xf numFmtId="165" fontId="16" fillId="0" borderId="0" xfId="2" applyNumberFormat="1" applyFont="1" applyAlignment="1">
      <alignment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"01/08/2025"</f>
        <v>01/08/2025</v>
      </c>
    </row>
    <row r="4" spans="1:7">
      <c r="A4" s="1" t="s">
        <v>0</v>
      </c>
      <c r="B4" s="4" t="s">
        <v>6</v>
      </c>
      <c r="C4" s="5" t="str">
        <f>"31/08/2025"</f>
        <v>31/08/2025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01/Aug/2025..31/Aug/2025</v>
      </c>
    </row>
    <row r="9" spans="1:7">
      <c r="A9" s="1" t="s">
        <v>9</v>
      </c>
      <c r="C9" s="3" t="str">
        <f>TEXT($C$3,"yyyyMMdd") &amp; ".." &amp; TEXT($C$4,"yyyyMMdd")</f>
        <v>20250801..20250831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305A-1E9E-4F52-875B-4B2D659DC7CC}">
  <dimension ref="A1:AV29"/>
  <sheetViews>
    <sheetView workbookViewId="0"/>
  </sheetViews>
  <sheetFormatPr defaultRowHeight="15"/>
  <sheetData>
    <row r="1" spans="1:48">
      <c r="A1" s="68" t="s">
        <v>145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147</v>
      </c>
      <c r="N24" s="68" t="s">
        <v>148</v>
      </c>
      <c r="O24" s="68" t="s">
        <v>149</v>
      </c>
      <c r="P24" s="68" t="s">
        <v>150</v>
      </c>
      <c r="Q24" s="68" t="s">
        <v>151</v>
      </c>
      <c r="R24" s="68" t="s">
        <v>152</v>
      </c>
      <c r="S24" s="68" t="s">
        <v>214</v>
      </c>
      <c r="T24" s="68" t="s">
        <v>153</v>
      </c>
      <c r="U24" s="68" t="s">
        <v>154</v>
      </c>
      <c r="V24" s="68" t="s">
        <v>155</v>
      </c>
      <c r="W24" s="68" t="s">
        <v>125</v>
      </c>
      <c r="X24" s="68" t="s">
        <v>156</v>
      </c>
      <c r="Y24" s="68" t="s">
        <v>157</v>
      </c>
      <c r="Z24" s="68" t="s">
        <v>158</v>
      </c>
      <c r="AA24" s="68" t="s">
        <v>159</v>
      </c>
      <c r="AB24" s="68" t="s">
        <v>160</v>
      </c>
      <c r="AC24" s="68" t="s">
        <v>126</v>
      </c>
      <c r="AD24" s="68" t="s">
        <v>161</v>
      </c>
      <c r="AE24" s="68" t="s">
        <v>162</v>
      </c>
      <c r="AF24" s="68" t="s">
        <v>161</v>
      </c>
      <c r="AG24" s="68" t="s">
        <v>95</v>
      </c>
      <c r="AH24" s="68" t="s">
        <v>163</v>
      </c>
      <c r="AJ24" s="68" t="s">
        <v>96</v>
      </c>
      <c r="AK24" s="68" t="s">
        <v>156</v>
      </c>
      <c r="AL24" s="68" t="s">
        <v>157</v>
      </c>
      <c r="AM24" s="68" t="s">
        <v>164</v>
      </c>
      <c r="AN24" s="68" t="s">
        <v>165</v>
      </c>
      <c r="AO24" s="68" t="s">
        <v>166</v>
      </c>
      <c r="AP24" s="68" t="s">
        <v>167</v>
      </c>
    </row>
    <row r="25" spans="1:42">
      <c r="A25" s="68" t="s">
        <v>136</v>
      </c>
      <c r="B25" s="68" t="s">
        <v>127</v>
      </c>
      <c r="C25" s="68" t="s">
        <v>48</v>
      </c>
      <c r="E25" s="68" t="s">
        <v>222</v>
      </c>
      <c r="K25" s="68" t="s">
        <v>140</v>
      </c>
      <c r="L25" s="68" t="s">
        <v>141</v>
      </c>
      <c r="M25" s="68" t="s">
        <v>168</v>
      </c>
      <c r="N25" s="68" t="s">
        <v>169</v>
      </c>
      <c r="O25" s="68" t="s">
        <v>170</v>
      </c>
      <c r="P25" s="68" t="s">
        <v>171</v>
      </c>
      <c r="Q25" s="68" t="s">
        <v>172</v>
      </c>
      <c r="R25" s="68" t="s">
        <v>173</v>
      </c>
      <c r="S25" s="68" t="s">
        <v>219</v>
      </c>
      <c r="T25" s="68" t="s">
        <v>175</v>
      </c>
      <c r="U25" s="68" t="s">
        <v>176</v>
      </c>
      <c r="V25" s="68" t="s">
        <v>177</v>
      </c>
      <c r="W25" s="68" t="s">
        <v>142</v>
      </c>
      <c r="X25" s="68" t="s">
        <v>178</v>
      </c>
      <c r="Y25" s="68" t="s">
        <v>179</v>
      </c>
      <c r="Z25" s="68" t="s">
        <v>180</v>
      </c>
      <c r="AA25" s="68" t="s">
        <v>181</v>
      </c>
      <c r="AB25" s="68" t="s">
        <v>182</v>
      </c>
      <c r="AC25" s="68" t="s">
        <v>129</v>
      </c>
      <c r="AD25" s="68" t="s">
        <v>183</v>
      </c>
      <c r="AE25" s="68" t="s">
        <v>184</v>
      </c>
      <c r="AF25" s="68" t="s">
        <v>183</v>
      </c>
      <c r="AG25" s="68" t="s">
        <v>95</v>
      </c>
      <c r="AH25" s="68" t="s">
        <v>185</v>
      </c>
      <c r="AJ25" s="68" t="s">
        <v>96</v>
      </c>
      <c r="AK25" s="68" t="s">
        <v>178</v>
      </c>
      <c r="AL25" s="68" t="s">
        <v>179</v>
      </c>
      <c r="AM25" s="68" t="s">
        <v>186</v>
      </c>
      <c r="AN25" s="68" t="s">
        <v>187</v>
      </c>
      <c r="AO25" s="68" t="s">
        <v>188</v>
      </c>
      <c r="AP25" s="68" t="s">
        <v>189</v>
      </c>
    </row>
    <row r="26" spans="1:42">
      <c r="B26" s="68" t="s">
        <v>130</v>
      </c>
      <c r="C26" s="68" t="s">
        <v>49</v>
      </c>
      <c r="E26" s="68" t="s">
        <v>128</v>
      </c>
      <c r="M26" s="68" t="s">
        <v>190</v>
      </c>
      <c r="N26" s="68" t="s">
        <v>191</v>
      </c>
      <c r="O26" s="68" t="s">
        <v>192</v>
      </c>
      <c r="Q26" s="68" t="s">
        <v>193</v>
      </c>
      <c r="R26" s="68" t="s">
        <v>194</v>
      </c>
      <c r="T26" s="68" t="s">
        <v>196</v>
      </c>
      <c r="U26" s="68" t="s">
        <v>195</v>
      </c>
      <c r="X26" s="68" t="s">
        <v>196</v>
      </c>
      <c r="Y26" s="68" t="s">
        <v>197</v>
      </c>
      <c r="Z26" s="68" t="s">
        <v>198</v>
      </c>
      <c r="AA26" s="68" t="s">
        <v>199</v>
      </c>
      <c r="AB26" s="68" t="s">
        <v>200</v>
      </c>
      <c r="AC26" s="68" t="s">
        <v>132</v>
      </c>
      <c r="AD26" s="68" t="s">
        <v>201</v>
      </c>
      <c r="AH26" s="68" t="s">
        <v>202</v>
      </c>
      <c r="AL26" s="68" t="s">
        <v>217</v>
      </c>
      <c r="AM26" s="68" t="s">
        <v>218</v>
      </c>
    </row>
    <row r="27" spans="1:42">
      <c r="B27" s="68" t="s">
        <v>143</v>
      </c>
      <c r="C27" s="68" t="s">
        <v>50</v>
      </c>
      <c r="E27" s="68" t="s">
        <v>131</v>
      </c>
      <c r="M27" s="68" t="s">
        <v>203</v>
      </c>
      <c r="N27" s="68" t="s">
        <v>204</v>
      </c>
      <c r="O27" s="68" t="s">
        <v>205</v>
      </c>
      <c r="Q27" s="68" t="s">
        <v>206</v>
      </c>
      <c r="R27" s="68" t="s">
        <v>207</v>
      </c>
      <c r="T27" s="68" t="s">
        <v>208</v>
      </c>
      <c r="U27" s="68" t="s">
        <v>223</v>
      </c>
      <c r="X27" s="68" t="s">
        <v>208</v>
      </c>
      <c r="Y27" s="68" t="s">
        <v>209</v>
      </c>
      <c r="Z27" s="68" t="s">
        <v>210</v>
      </c>
      <c r="AA27" s="68" t="s">
        <v>211</v>
      </c>
      <c r="AB27" s="68" t="s">
        <v>212</v>
      </c>
      <c r="AC27" s="68" t="s">
        <v>144</v>
      </c>
      <c r="AD27" s="68" t="s">
        <v>213</v>
      </c>
      <c r="AL27" s="68" t="s">
        <v>224</v>
      </c>
      <c r="AM27" s="68" t="s">
        <v>225</v>
      </c>
    </row>
    <row r="29" spans="1:42">
      <c r="AC29" s="68" t="s">
        <v>226</v>
      </c>
      <c r="AD29" s="68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41"/>
  <sheetViews>
    <sheetView tabSelected="1" topLeftCell="K19" zoomScale="85" zoomScaleNormal="85" workbookViewId="0">
      <selection activeCell="T28" sqref="T28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.140625" style="4" bestFit="1" customWidth="1"/>
    <col min="14" max="14" width="11" style="21" bestFit="1" customWidth="1"/>
    <col min="15" max="15" width="12.5703125" style="18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5" customWidth="1"/>
    <col min="20" max="20" width="10.28515625" style="45" bestFit="1" customWidth="1"/>
    <col min="21" max="21" width="15.140625" style="45" bestFit="1" customWidth="1"/>
    <col min="22" max="22" width="10.5703125" style="45" bestFit="1" customWidth="1"/>
    <col min="23" max="23" width="9.5703125" style="45" customWidth="1"/>
    <col min="24" max="24" width="16.7109375" style="4" hidden="1" customWidth="1"/>
    <col min="25" max="25" width="68" style="4" hidden="1" customWidth="1"/>
    <col min="26" max="26" width="23.140625" style="4" bestFit="1" customWidth="1"/>
    <col min="27" max="27" width="10.7109375" style="60" bestFit="1" customWidth="1"/>
    <col min="28" max="28" width="21.42578125" style="4" bestFit="1" customWidth="1"/>
    <col min="29" max="29" width="9.85546875" style="4" customWidth="1"/>
    <col min="30" max="30" width="14.7109375" style="4" customWidth="1"/>
    <col min="31" max="31" width="8.42578125" style="21" customWidth="1"/>
    <col min="32" max="32" width="15.85546875" style="4" customWidth="1"/>
    <col min="33" max="33" width="11.28515625" style="21" customWidth="1"/>
    <col min="34" max="34" width="12.140625" style="4" customWidth="1"/>
    <col min="35" max="35" width="9.5703125" style="4" customWidth="1"/>
    <col min="36" max="36" width="6.85546875" style="21" customWidth="1"/>
    <col min="37" max="37" width="14.42578125" style="4" customWidth="1"/>
    <col min="38" max="38" width="51.42578125" style="4" bestFit="1" customWidth="1"/>
    <col min="39" max="39" width="11.85546875" style="4" bestFit="1" customWidth="1"/>
    <col min="40" max="40" width="14.28515625" style="4" customWidth="1"/>
    <col min="41" max="41" width="11.28515625" style="35" bestFit="1" customWidth="1"/>
    <col min="42" max="42" width="84.42578125" style="35" customWidth="1"/>
    <col min="43" max="46" width="9.28515625" style="4"/>
    <col min="47" max="48" width="9.28515625" style="4" hidden="1" customWidth="1"/>
    <col min="49" max="16384" width="9.28515625" style="4"/>
  </cols>
  <sheetData>
    <row r="1" spans="1:48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4"/>
      <c r="T1" s="44" t="s">
        <v>18</v>
      </c>
      <c r="U1" s="44" t="s">
        <v>18</v>
      </c>
      <c r="V1" s="44" t="s">
        <v>18</v>
      </c>
      <c r="W1" s="44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E1" s="22"/>
      <c r="AG1" s="22"/>
      <c r="AJ1" s="22"/>
      <c r="AL1" s="1" t="s">
        <v>18</v>
      </c>
      <c r="AM1" s="1" t="s">
        <v>18</v>
      </c>
      <c r="AO1" s="34"/>
      <c r="AP1" s="34"/>
      <c r="AU1" s="1" t="s">
        <v>7</v>
      </c>
      <c r="AV1" s="1" t="s">
        <v>7</v>
      </c>
    </row>
    <row r="2" spans="1:48" hidden="1">
      <c r="A2" s="1" t="s">
        <v>7</v>
      </c>
      <c r="D2" s="4" t="s">
        <v>19</v>
      </c>
      <c r="E2" s="4" t="str">
        <f>Option!$C$2</f>
        <v>UICACS</v>
      </c>
    </row>
    <row r="3" spans="1:48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8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8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8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8" hidden="1">
      <c r="A7" s="1" t="s">
        <v>7</v>
      </c>
    </row>
    <row r="8" spans="1:48" hidden="1">
      <c r="A8" s="1" t="s">
        <v>7</v>
      </c>
      <c r="M8" s="9"/>
    </row>
    <row r="9" spans="1:48" hidden="1">
      <c r="A9" s="1" t="s">
        <v>7</v>
      </c>
      <c r="M9" s="9"/>
    </row>
    <row r="10" spans="1:48" hidden="1">
      <c r="A10" s="1" t="s">
        <v>7</v>
      </c>
    </row>
    <row r="11" spans="1:48" hidden="1">
      <c r="A11" s="1" t="s">
        <v>7</v>
      </c>
      <c r="C11" s="4" t="s">
        <v>27</v>
      </c>
      <c r="E11" s="4" t="str">
        <f>Option!$C$9</f>
        <v>20250801..20250831</v>
      </c>
      <c r="M11" s="9"/>
    </row>
    <row r="12" spans="1:48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8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8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8" hidden="1">
      <c r="A15" s="1" t="s">
        <v>7</v>
      </c>
      <c r="C15" s="4" t="s">
        <v>43</v>
      </c>
      <c r="E15" s="4" t="str">
        <f>Option!$C$12</f>
        <v>'MS'</v>
      </c>
      <c r="AL15" s="16"/>
    </row>
    <row r="16" spans="1:48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52" hidden="1">
      <c r="A17" s="1" t="s">
        <v>7</v>
      </c>
    </row>
    <row r="18" spans="1:52" s="23" customFormat="1" hidden="1">
      <c r="A18" s="23" t="s">
        <v>7</v>
      </c>
      <c r="I18" s="24"/>
      <c r="N18" s="25"/>
      <c r="O18" s="26"/>
      <c r="P18" s="26"/>
      <c r="S18" s="46"/>
      <c r="T18" s="46"/>
      <c r="U18" s="46"/>
      <c r="V18" s="46"/>
      <c r="W18" s="46"/>
      <c r="AA18" s="61"/>
      <c r="AE18" s="25"/>
      <c r="AG18" s="25"/>
      <c r="AJ18" s="25"/>
      <c r="AO18" s="36"/>
      <c r="AP18" s="36"/>
    </row>
    <row r="20" spans="1:52" ht="15.75">
      <c r="M20" s="20"/>
      <c r="N20" s="20"/>
      <c r="O20" s="20"/>
      <c r="P20" s="20"/>
      <c r="Q20" s="20"/>
      <c r="R20" s="20"/>
      <c r="S20" s="47"/>
      <c r="T20" s="47"/>
      <c r="U20" s="47"/>
      <c r="V20" s="47"/>
      <c r="W20" s="47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52" s="40" customFormat="1" ht="18.75">
      <c r="A21" s="39"/>
      <c r="B21" s="39"/>
      <c r="I21" s="41"/>
      <c r="M21" s="69" t="s">
        <v>76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43"/>
      <c r="AO21" s="42"/>
      <c r="AP21" s="42"/>
    </row>
    <row r="22" spans="1:52" ht="15.75">
      <c r="M22" s="20"/>
      <c r="N22" s="20"/>
      <c r="O22" s="20"/>
      <c r="P22" s="20"/>
      <c r="Q22" s="20"/>
      <c r="R22" s="20"/>
      <c r="S22" s="47"/>
      <c r="T22" s="47"/>
      <c r="U22" s="47"/>
      <c r="V22" s="47"/>
      <c r="W22" s="4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52" s="54" customFormat="1" ht="63">
      <c r="A23" s="53"/>
      <c r="B23" s="53"/>
      <c r="E23" s="55" t="s">
        <v>29</v>
      </c>
      <c r="I23" s="56"/>
      <c r="K23" s="48" t="s">
        <v>77</v>
      </c>
      <c r="L23" s="48" t="s">
        <v>78</v>
      </c>
      <c r="M23" s="48" t="s">
        <v>14</v>
      </c>
      <c r="N23" s="48" t="s">
        <v>16</v>
      </c>
      <c r="O23" s="57" t="s">
        <v>30</v>
      </c>
      <c r="P23" s="57" t="s">
        <v>79</v>
      </c>
      <c r="Q23" s="48" t="s">
        <v>31</v>
      </c>
      <c r="R23" s="58" t="s">
        <v>38</v>
      </c>
      <c r="S23" s="48" t="s">
        <v>233</v>
      </c>
      <c r="T23" s="48" t="s">
        <v>80</v>
      </c>
      <c r="U23" s="48" t="s">
        <v>34</v>
      </c>
      <c r="V23" s="49" t="s">
        <v>81</v>
      </c>
      <c r="W23" s="49" t="s">
        <v>82</v>
      </c>
      <c r="X23" s="64" t="s">
        <v>36</v>
      </c>
      <c r="Y23" s="64" t="s">
        <v>12</v>
      </c>
      <c r="Z23" s="58" t="s">
        <v>32</v>
      </c>
      <c r="AA23" s="48" t="s">
        <v>13</v>
      </c>
      <c r="AB23" s="58" t="s">
        <v>37</v>
      </c>
      <c r="AC23" s="59" t="s">
        <v>57</v>
      </c>
      <c r="AD23" s="59" t="s">
        <v>58</v>
      </c>
      <c r="AE23" s="62" t="s">
        <v>83</v>
      </c>
      <c r="AF23" s="58" t="s">
        <v>84</v>
      </c>
      <c r="AG23" s="48" t="s">
        <v>85</v>
      </c>
      <c r="AH23" s="58" t="s">
        <v>86</v>
      </c>
      <c r="AI23" s="58" t="s">
        <v>87</v>
      </c>
      <c r="AJ23" s="66" t="s">
        <v>94</v>
      </c>
      <c r="AK23" s="66" t="s">
        <v>88</v>
      </c>
      <c r="AL23" s="66" t="s">
        <v>89</v>
      </c>
      <c r="AM23" s="66" t="s">
        <v>90</v>
      </c>
      <c r="AN23" s="66" t="s">
        <v>91</v>
      </c>
      <c r="AO23" s="66" t="s">
        <v>92</v>
      </c>
      <c r="AP23" s="66" t="s">
        <v>93</v>
      </c>
    </row>
    <row r="24" spans="1:52">
      <c r="B24" s="1" t="str">
        <f>IF(M24="","Hide","Show")</f>
        <v>Show</v>
      </c>
      <c r="C24" s="4" t="s">
        <v>48</v>
      </c>
      <c r="E24" s="13" t="str">
        <f>"""UICACS"","""",""SQL="",""2=DOCNUM"",""33039693"",""14=CUSTREF"",""8100001520"",""14=U_CUSTREF"",""8100001520"",""15=DOCDATE"",""5/8/2025"",""15=TAXDATE"",""5/8/2025"",""14=CARDCODE"",""CI0099-SGD"",""14=CARDNAME"",""SYNAPXE PTE. LTD."",""14=ITEMCODE"",""MS6VC-01288GLP"",""14=ITEMNAME"",""MS WI"&amp;"N REMOTE DESKTOP SERVICES CAL SLNG LSA UCAL"",""10=QUANTITY"",""240.000000"",""14=U_PONO"",""958169"",""15=U_PODATE"",""11/7/2025"",""10=U_TLINTCOS"",""0.000000"",""2=SLPCODE"",""132"",""14=SLPNAME"",""E0001-CS"",""14=MEMO"",""WENDY KUM CHIOU SZE"",""14=CONTACTNAME"",""E-INVOICE(AP DIRE"&amp;"CT)"",""10=LINETOTAL"",""62191.200000"",""14=U_ENR"","""",""14=U_MSENR"",""S7138270"",""14=U_MSPCN"",""AD5A91AA"",""14=ADDRESS2"",""ALVIN THENG_x000D_SYNAPXE PTE. LTD. 1 NORTH BOUNA VISTA LINK, #05-01 ELEMENTUM SINGAPORE 139691_x000D_ALVIN THENG_x000D_TEL: 96286158_x000D_FAX: _x000D_EMAIL: alvin.theng@sy"&amp;"napxe.sg"""</f>
        <v>"UICACS","","SQL=","2=DOCNUM","33039693","14=CUSTREF","8100001520","14=U_CUSTREF","8100001520","15=DOCDATE","5/8/2025","15=TAXDATE","5/8/2025","14=CARDCODE","CI0099-SGD","14=CARDNAME","SYNAPXE PTE. LTD.","14=ITEMCODE","MS6VC-01288GLP","14=ITEMNAME","MS WIN REMOTE DESKTOP SERVICES CAL SLNG LSA UCAL","10=QUANTITY","240.000000","14=U_PONO","958169","15=U_PODATE","11/7/2025","10=U_TLINTCOS","0.000000","2=SLPCODE","132","14=SLPNAME","E0001-CS","14=MEMO","WENDY KUM CHIOU SZE","14=CONTACTNAME","E-INVOICE(AP DIRECT)","10=LINETOTAL","62191.200000","14=U_ENR","","14=U_MSENR","S7138270","14=U_MSPCN","AD5A91AA","14=ADDRESS2","ALVIN THENG_x000D_SYNAPXE PTE. LTD. 1 NORTH BOUNA VISTA LINK, #05-01 ELEMENTUM SINGAPORE 139691_x000D_ALVIN THENG_x000D_TEL: 96286158_x000D_FAX: _x000D_EMAIL: alvin.theng@synapxe.sg"</v>
      </c>
      <c r="K24" s="4">
        <f>MONTH(N24)</f>
        <v>8</v>
      </c>
      <c r="L24" s="4">
        <f>YEAR(N24)</f>
        <v>2025</v>
      </c>
      <c r="M24" s="4">
        <v>33039693</v>
      </c>
      <c r="N24" s="38">
        <v>45874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50" t="str">
        <f>"958169"</f>
        <v>958169</v>
      </c>
      <c r="T24" s="50">
        <v>45849</v>
      </c>
      <c r="U24" s="50" t="str">
        <f>"8100001520"</f>
        <v>8100001520</v>
      </c>
      <c r="V24" s="50">
        <v>45874</v>
      </c>
      <c r="W24" s="51">
        <f>SUM(N24-T24)</f>
        <v>25</v>
      </c>
      <c r="X24" s="65" t="str">
        <f>"MS6VC-01288GLP"</f>
        <v>MS6VC-01288GLP</v>
      </c>
      <c r="Y24" s="65" t="str">
        <f>"MS WIN REMOTE DESKTOP SERVICES CAL SLNG LSA UCAL"</f>
        <v>MS WIN REMOTE DESKTOP SERVICES CAL SLNG LSA UCAL</v>
      </c>
      <c r="Z24" s="65" t="str">
        <f>"WENDY KUM CHIOU SZE"</f>
        <v>WENDY KUM CHIOU SZE</v>
      </c>
      <c r="AA24" s="60">
        <v>240</v>
      </c>
      <c r="AB24" s="65" t="str">
        <f>"E-INVOICE(AP DIRECT)"</f>
        <v>E-INVOICE(AP DIRECT)</v>
      </c>
      <c r="AC24" s="37">
        <f>IFERROR(AD24/AA24,0)</f>
        <v>259.13</v>
      </c>
      <c r="AD24" s="37">
        <v>62191.199999999997</v>
      </c>
      <c r="AE24" s="63" t="str">
        <f>"-"</f>
        <v>-</v>
      </c>
      <c r="AF24" s="37">
        <v>62191.199999999997</v>
      </c>
      <c r="AG24" s="63" t="s">
        <v>95</v>
      </c>
      <c r="AH24" s="67" t="str">
        <f>"ALVIN THENG_x000D_SYNAPXE PTE. LTD. 1 NORTH BOUNA VISTA LINK, #05-01 ELEMENTUM SINGAPORE 139691_x000D_ALVIN THENG_x000D_TEL: 96286158_x000D_FAX: _x000D_EMAIL: alvin.theng@synapxe.sg"</f>
        <v>ALVIN THENG_x000D_SYNAPXE PTE. LTD. 1 NORTH BOUNA VISTA LINK, #05-01 ELEMENTUM SINGAPORE 139691_x000D_ALVIN THENG_x000D_TEL: 96286158_x000D_FAX: _x000D_EMAIL: alvin.theng@synapxe.sg</v>
      </c>
      <c r="AI24" s="18"/>
      <c r="AJ24" s="63" t="s">
        <v>96</v>
      </c>
      <c r="AK24" s="4" t="str">
        <f>"MS6VC-01288GLP"</f>
        <v>MS6VC-01288GLP</v>
      </c>
      <c r="AL24" s="4" t="str">
        <f>"MS WIN REMOTE DESKTOP SERVICES CAL SLNG LSA UCAL"</f>
        <v>MS WIN REMOTE DESKTOP SERVICES CAL SLNG LSA UCAL</v>
      </c>
      <c r="AM24" s="4" t="s">
        <v>229</v>
      </c>
      <c r="AN24" s="4" t="s">
        <v>230</v>
      </c>
      <c r="AO24" s="4" t="s">
        <v>231</v>
      </c>
      <c r="AP24" s="4" t="s">
        <v>228</v>
      </c>
    </row>
    <row r="25" spans="1:52">
      <c r="A25" s="1" t="s">
        <v>136</v>
      </c>
      <c r="B25" s="1" t="str">
        <f>IF(M25="","Hide","Show")</f>
        <v>Show</v>
      </c>
      <c r="C25" s="4" t="s">
        <v>48</v>
      </c>
      <c r="E25" s="13" t="str">
        <f>"""UICACS"","""",""SQL="",""2=DOCNUM"",""33039784"",""14=CUSTREF"",""7100000168"",""14=U_CUSTREF"",""7100000168"",""15=DOCDATE"",""14/8/2025"",""15=TAXDATE"",""14/8/2025"",""14=CARDCODE"",""CI0099-SGD"",""14=CARDNAME"",""SYNAPXE PTE. LTD."",""14=ITEMCODE"",""MS7JQ-00353GLP"",""14=ITEMNAME"",""MS "&amp;"SQL SERVER ENTERPRISE CORE SLNG LSA 2L"",""10=QUANTITY"",""2.000000"",""14=U_PONO"",""958849"",""15=U_PODATE"",""13/8/2025"",""10=U_TLINTCOS"",""0.000000"",""2=SLPCODE"",""132"",""14=SLPNAME"",""E0001-CS"",""14=MEMO"",""WENDY KUM CHIOU SZE"",""14=CONTACTNAME"",""E-INVOICE(AP DIRECT)"",""1"&amp;"0=LINETOTAL"",""45086.340000"",""14=U_ENR"","""",""14=U_MSENR"",""S7138270"",""14=U_MSPCN"",""AD5A91AA"",""14=ADDRESS2"",""EMMY CHIT_x000D_SYNAPXE PTE. LTD. 1 NORTH BUNONA VISTA LINK, #05-01 ELEMENTUM SINGAPORE 139691_x000D_EMMY CHIT_x000D_TEL: _x000D_FAX: _x000D_EMAIL: emmy.aye.zaw@synapxe.sg"""</f>
        <v>"UICACS","","SQL=","2=DOCNUM","33039784","14=CUSTREF","7100000168","14=U_CUSTREF","7100000168","15=DOCDATE","14/8/2025","15=TAXDATE","14/8/2025","14=CARDCODE","CI0099-SGD","14=CARDNAME","SYNAPXE PTE. LTD.","14=ITEMCODE","MS7JQ-00353GLP","14=ITEMNAME","MS SQL SERVER ENTERPRISE CORE SLNG LSA 2L","10=QUANTITY","2.000000","14=U_PONO","958849","15=U_PODATE","13/8/2025","10=U_TLINTCOS","0.000000","2=SLPCODE","132","14=SLPNAME","E0001-CS","14=MEMO","WENDY KUM CHIOU SZE","14=CONTACTNAME","E-INVOICE(AP DIRECT)","10=LINETOTAL","45086.340000","14=U_ENR","","14=U_MSENR","S7138270","14=U_MSPCN","AD5A91AA","14=ADDRESS2","EMMY CHIT_x000D_SYNAPXE PTE. LTD. 1 NORTH BUNONA VISTA LINK, #05-01 ELEMENTUM SINGAPORE 139691_x000D_EMMY CHIT_x000D_TEL: _x000D_FAX: _x000D_EMAIL: emmy.aye.zaw@synapxe.sg"</v>
      </c>
      <c r="K25" s="4">
        <f>MONTH(N25)</f>
        <v>8</v>
      </c>
      <c r="L25" s="4">
        <f>YEAR(N25)</f>
        <v>2025</v>
      </c>
      <c r="M25" s="4">
        <v>33039784</v>
      </c>
      <c r="N25" s="38">
        <v>45883</v>
      </c>
      <c r="O25" s="4" t="str">
        <f>"S7138270"</f>
        <v>S7138270</v>
      </c>
      <c r="P25" s="4" t="str">
        <f>"AD5A91AA"</f>
        <v>AD5A91AA</v>
      </c>
      <c r="Q25" s="4" t="str">
        <f>"CI0099-SGD"</f>
        <v>CI0099-SGD</v>
      </c>
      <c r="R25" s="4" t="str">
        <f>"SYNAPXE PTE. LTD."</f>
        <v>SYNAPXE PTE. LTD.</v>
      </c>
      <c r="S25" s="50" t="str">
        <f>"958849"</f>
        <v>958849</v>
      </c>
      <c r="T25" s="50">
        <v>45882</v>
      </c>
      <c r="U25" s="50" t="str">
        <f>"7100000168"</f>
        <v>7100000168</v>
      </c>
      <c r="V25" s="50">
        <v>45883</v>
      </c>
      <c r="W25" s="51">
        <f>SUM(N25-T25)</f>
        <v>1</v>
      </c>
      <c r="X25" s="65" t="str">
        <f>"MS7JQ-00353GLP"</f>
        <v>MS7JQ-00353GLP</v>
      </c>
      <c r="Y25" s="65" t="str">
        <f>"MS SQL SERVER ENTERPRISE CORE SLNG LSA 2L"</f>
        <v>MS SQL SERVER ENTERPRISE CORE SLNG LSA 2L</v>
      </c>
      <c r="Z25" s="65" t="str">
        <f>"WENDY KUM CHIOU SZE"</f>
        <v>WENDY KUM CHIOU SZE</v>
      </c>
      <c r="AA25" s="60">
        <v>2</v>
      </c>
      <c r="AB25" s="65" t="str">
        <f>"E-INVOICE(AP DIRECT)"</f>
        <v>E-INVOICE(AP DIRECT)</v>
      </c>
      <c r="AC25" s="37">
        <f>IFERROR(AD25/AA25,0)</f>
        <v>22543.17</v>
      </c>
      <c r="AD25" s="37">
        <v>45086.34</v>
      </c>
      <c r="AE25" s="63" t="str">
        <f>"-"</f>
        <v>-</v>
      </c>
      <c r="AF25" s="37">
        <v>45086.34</v>
      </c>
      <c r="AG25" s="63" t="s">
        <v>95</v>
      </c>
      <c r="AH25" s="67" t="str">
        <f>"EMMY CHIT_x000D_SYNAPXE PTE. LTD. 1 NORTH BUNONA VISTA LINK, #05-01 ELEMENTUM SINGAPORE 139691_x000D_EMMY CHIT_x000D_TEL: _x000D_FAX: _x000D_EMAIL: emmy.aye.zaw@synapxe.sg"</f>
        <v>EMMY CHIT_x000D_SYNAPXE PTE. LTD. 1 NORTH BUNONA VISTA LINK, #05-01 ELEMENTUM SINGAPORE 139691_x000D_EMMY CHIT_x000D_TEL: _x000D_FAX: _x000D_EMAIL: emmy.aye.zaw@synapxe.sg</v>
      </c>
      <c r="AI25" s="18"/>
      <c r="AJ25" s="63" t="s">
        <v>96</v>
      </c>
      <c r="AK25" s="4" t="str">
        <f>"MS7JQ-00353GLP"</f>
        <v>MS7JQ-00353GLP</v>
      </c>
      <c r="AL25" s="4" t="str">
        <f>"MS SQL SERVER ENTERPRISE CORE SLNG LSA 2L"</f>
        <v>MS SQL SERVER ENTERPRISE CORE SLNG LSA 2L</v>
      </c>
      <c r="AM25" s="4" t="s">
        <v>229</v>
      </c>
      <c r="AN25" s="4" t="s">
        <v>230</v>
      </c>
      <c r="AO25" s="4" t="s">
        <v>231</v>
      </c>
      <c r="AP25" s="4" t="s">
        <v>232</v>
      </c>
    </row>
    <row r="26" spans="1:52" hidden="1">
      <c r="B26" s="1" t="str">
        <f>IF(M26="","Hide","Show")</f>
        <v>Hide</v>
      </c>
      <c r="C26" s="4" t="s">
        <v>49</v>
      </c>
      <c r="E26" s="13" t="str">
        <f>""</f>
        <v/>
      </c>
      <c r="M26" s="4" t="str">
        <f>""</f>
        <v/>
      </c>
      <c r="N26" s="38" t="str">
        <f>""</f>
        <v/>
      </c>
      <c r="O26" s="4" t="str">
        <f>""</f>
        <v/>
      </c>
      <c r="P26" s="4"/>
      <c r="Q26" s="4" t="str">
        <f>""</f>
        <v/>
      </c>
      <c r="R26" s="4" t="str">
        <f>""</f>
        <v/>
      </c>
      <c r="T26" s="45" t="str">
        <f>""</f>
        <v/>
      </c>
      <c r="U26" s="45" t="str">
        <f>""</f>
        <v/>
      </c>
      <c r="V26" s="52"/>
      <c r="W26" s="51"/>
      <c r="X26" s="4" t="str">
        <f>""</f>
        <v/>
      </c>
      <c r="Y26" s="4" t="str">
        <f>""</f>
        <v/>
      </c>
      <c r="Z26" s="65" t="str">
        <f t="shared" ref="Z26:Z28" si="0">"WENDY KUM CHIOU SZE"</f>
        <v>WENDY KUM CHIOU SZE</v>
      </c>
      <c r="AA26" s="60" t="str">
        <f>""</f>
        <v/>
      </c>
      <c r="AB26" s="65" t="str">
        <f t="shared" ref="AB26:AB28" si="1">"E-INVOICE(AP DIRECT)"</f>
        <v>E-INVOICE(AP DIRECT)</v>
      </c>
      <c r="AC26" s="37">
        <f>IFERROR(AD26/AA26,0)</f>
        <v>0</v>
      </c>
      <c r="AD26" s="37" t="str">
        <f>""</f>
        <v/>
      </c>
      <c r="AE26" s="63"/>
      <c r="AF26" s="18"/>
      <c r="AG26" s="63"/>
      <c r="AH26" s="18" t="str">
        <f>""</f>
        <v/>
      </c>
      <c r="AI26" s="18"/>
      <c r="AJ26" s="63"/>
      <c r="AK26" s="18"/>
      <c r="AL26" s="5" t="str">
        <f>""</f>
        <v/>
      </c>
      <c r="AM26" s="4" t="str">
        <f>""</f>
        <v/>
      </c>
    </row>
    <row r="27" spans="1:52" hidden="1">
      <c r="B27" s="1" t="str">
        <f>IF(M27="","Hide","Show")</f>
        <v>Hide</v>
      </c>
      <c r="C27" s="4" t="s">
        <v>50</v>
      </c>
      <c r="E27" s="13" t="str">
        <f>""</f>
        <v/>
      </c>
      <c r="M27" s="4" t="str">
        <f>""</f>
        <v/>
      </c>
      <c r="N27" s="38" t="str">
        <f>""</f>
        <v/>
      </c>
      <c r="O27" s="4" t="str">
        <f>""</f>
        <v/>
      </c>
      <c r="P27" s="4"/>
      <c r="Q27" s="4" t="str">
        <f>""</f>
        <v/>
      </c>
      <c r="R27" s="4" t="str">
        <f>""</f>
        <v/>
      </c>
      <c r="T27" s="45" t="str">
        <f>""</f>
        <v/>
      </c>
      <c r="U27" s="45" t="str">
        <f>""</f>
        <v/>
      </c>
      <c r="V27" s="52"/>
      <c r="W27" s="51"/>
      <c r="X27" s="4" t="str">
        <f>""</f>
        <v/>
      </c>
      <c r="Y27" s="4" t="str">
        <f>""</f>
        <v/>
      </c>
      <c r="Z27" s="65" t="str">
        <f t="shared" si="0"/>
        <v>WENDY KUM CHIOU SZE</v>
      </c>
      <c r="AA27" s="60" t="str">
        <f>""</f>
        <v/>
      </c>
      <c r="AB27" s="65" t="str">
        <f t="shared" si="1"/>
        <v>E-INVOICE(AP DIRECT)</v>
      </c>
      <c r="AC27" s="37">
        <f>IFERROR(AD27/AA27,0)</f>
        <v>0</v>
      </c>
      <c r="AD27" s="37" t="str">
        <f>""</f>
        <v/>
      </c>
      <c r="AE27" s="63"/>
      <c r="AF27" s="18"/>
      <c r="AG27" s="63"/>
      <c r="AH27" s="18"/>
      <c r="AI27" s="18"/>
      <c r="AJ27" s="63"/>
      <c r="AK27" s="18"/>
      <c r="AL27" s="5" t="str">
        <f>""</f>
        <v/>
      </c>
      <c r="AM27" s="4" t="str">
        <f>""</f>
        <v/>
      </c>
    </row>
    <row r="28" spans="1:52" s="71" customFormat="1">
      <c r="A28" s="70"/>
      <c r="B28" s="70"/>
      <c r="I28" s="72"/>
      <c r="K28" s="71">
        <f>MONTH(N28)</f>
        <v>8</v>
      </c>
      <c r="L28" s="71">
        <f>YEAR(N28)</f>
        <v>2025</v>
      </c>
      <c r="M28" s="73">
        <v>117173</v>
      </c>
      <c r="N28" s="74">
        <v>45898</v>
      </c>
      <c r="O28" s="71" t="str">
        <f>"S7138270"</f>
        <v>S7138270</v>
      </c>
      <c r="P28" s="71" t="str">
        <f>"AD5A91AA"</f>
        <v>AD5A91AA</v>
      </c>
      <c r="Q28" s="71" t="str">
        <f>"CI0099-SGD"</f>
        <v>CI0099-SGD</v>
      </c>
      <c r="R28" s="71" t="str">
        <f>"SYNAPXE PTE. LTD."</f>
        <v>SYNAPXE PTE. LTD.</v>
      </c>
      <c r="S28" s="75">
        <v>957853</v>
      </c>
      <c r="T28" s="74">
        <v>45898</v>
      </c>
      <c r="U28" s="73" t="str">
        <f>"8100001462"</f>
        <v>8100001462</v>
      </c>
      <c r="V28" s="74">
        <v>45898</v>
      </c>
      <c r="W28" s="76">
        <v>0</v>
      </c>
      <c r="Z28" s="77" t="str">
        <f t="shared" si="0"/>
        <v>WENDY KUM CHIOU SZE</v>
      </c>
      <c r="AA28" s="78">
        <v>-16</v>
      </c>
      <c r="AB28" s="77" t="str">
        <f t="shared" si="1"/>
        <v>E-INVOICE(AP DIRECT)</v>
      </c>
      <c r="AC28" s="79">
        <v>10274.68</v>
      </c>
      <c r="AD28" s="79">
        <v>164394.88</v>
      </c>
      <c r="AE28" s="80"/>
      <c r="AF28" s="79">
        <v>164394.88</v>
      </c>
      <c r="AG28" s="80" t="s">
        <v>95</v>
      </c>
      <c r="AH28" s="81" t="s">
        <v>234</v>
      </c>
      <c r="AJ28" s="82" t="s">
        <v>96</v>
      </c>
      <c r="AK28" s="71" t="s">
        <v>235</v>
      </c>
      <c r="AL28" s="83" t="s">
        <v>236</v>
      </c>
      <c r="AM28" s="71" t="s">
        <v>229</v>
      </c>
      <c r="AN28" s="80" t="s">
        <v>237</v>
      </c>
      <c r="AO28" s="71" t="s">
        <v>231</v>
      </c>
      <c r="AP28" s="84" t="s">
        <v>238</v>
      </c>
    </row>
    <row r="29" spans="1:52">
      <c r="AW29" s="16"/>
    </row>
    <row r="30" spans="1:52">
      <c r="AX30" s="16"/>
    </row>
    <row r="31" spans="1:52">
      <c r="AY31" s="16"/>
    </row>
    <row r="32" spans="1:52">
      <c r="AZ32" s="16"/>
    </row>
    <row r="33" spans="53:61">
      <c r="BA33" s="16"/>
    </row>
    <row r="34" spans="53:61">
      <c r="BB34" s="16"/>
    </row>
    <row r="35" spans="53:61">
      <c r="BC35" s="16"/>
    </row>
    <row r="36" spans="53:61">
      <c r="BD36" s="16"/>
    </row>
    <row r="37" spans="53:61">
      <c r="BE37" s="16"/>
    </row>
    <row r="38" spans="53:61">
      <c r="BF38" s="16"/>
    </row>
    <row r="39" spans="53:61">
      <c r="BG39" s="16"/>
    </row>
    <row r="40" spans="53:61">
      <c r="BH40" s="16"/>
    </row>
    <row r="41" spans="53:61">
      <c r="BI41" s="16"/>
    </row>
  </sheetData>
  <sortState xmlns:xlrd2="http://schemas.microsoft.com/office/spreadsheetml/2017/richdata2" ref="M24:AP391">
    <sortCondition ref="Q24:Q393"/>
  </sortState>
  <mergeCells count="1">
    <mergeCell ref="M21:AM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topLeftCell="B2"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220</v>
      </c>
    </row>
    <row r="4" spans="1:5">
      <c r="A4" s="68" t="s">
        <v>0</v>
      </c>
      <c r="B4" s="68" t="s">
        <v>6</v>
      </c>
      <c r="C4" s="68" t="s">
        <v>221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220</v>
      </c>
    </row>
    <row r="4" spans="1:5">
      <c r="A4" s="68" t="s">
        <v>0</v>
      </c>
      <c r="B4" s="68" t="s">
        <v>6</v>
      </c>
      <c r="C4" s="68" t="s">
        <v>221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147</v>
      </c>
      <c r="N24" s="68" t="s">
        <v>148</v>
      </c>
      <c r="O24" s="68" t="s">
        <v>149</v>
      </c>
      <c r="P24" s="68" t="s">
        <v>150</v>
      </c>
      <c r="Q24" s="68" t="s">
        <v>151</v>
      </c>
      <c r="R24" s="68" t="s">
        <v>152</v>
      </c>
      <c r="S24" s="68" t="s">
        <v>214</v>
      </c>
      <c r="T24" s="68" t="s">
        <v>153</v>
      </c>
      <c r="U24" s="68" t="s">
        <v>154</v>
      </c>
      <c r="V24" s="68" t="s">
        <v>155</v>
      </c>
      <c r="W24" s="68" t="s">
        <v>125</v>
      </c>
      <c r="X24" s="68" t="s">
        <v>156</v>
      </c>
      <c r="Y24" s="68" t="s">
        <v>157</v>
      </c>
      <c r="Z24" s="68" t="s">
        <v>158</v>
      </c>
      <c r="AA24" s="68" t="s">
        <v>159</v>
      </c>
      <c r="AB24" s="68" t="s">
        <v>160</v>
      </c>
      <c r="AC24" s="68" t="s">
        <v>126</v>
      </c>
      <c r="AD24" s="68" t="s">
        <v>161</v>
      </c>
      <c r="AE24" s="68" t="s">
        <v>162</v>
      </c>
      <c r="AF24" s="68" t="s">
        <v>161</v>
      </c>
      <c r="AG24" s="68" t="s">
        <v>95</v>
      </c>
      <c r="AH24" s="68" t="s">
        <v>163</v>
      </c>
      <c r="AJ24" s="68" t="s">
        <v>96</v>
      </c>
      <c r="AK24" s="68" t="s">
        <v>156</v>
      </c>
      <c r="AL24" s="68" t="s">
        <v>157</v>
      </c>
      <c r="AM24" s="68" t="s">
        <v>164</v>
      </c>
      <c r="AN24" s="68" t="s">
        <v>165</v>
      </c>
      <c r="AO24" s="68" t="s">
        <v>166</v>
      </c>
      <c r="AP24" s="68" t="s">
        <v>167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168</v>
      </c>
      <c r="N25" s="68" t="s">
        <v>169</v>
      </c>
      <c r="O25" s="68" t="s">
        <v>170</v>
      </c>
      <c r="Q25" s="68" t="s">
        <v>172</v>
      </c>
      <c r="R25" s="68" t="s">
        <v>173</v>
      </c>
      <c r="T25" s="68" t="s">
        <v>178</v>
      </c>
      <c r="U25" s="68" t="s">
        <v>174</v>
      </c>
      <c r="X25" s="68" t="s">
        <v>178</v>
      </c>
      <c r="Y25" s="68" t="s">
        <v>179</v>
      </c>
      <c r="Z25" s="68" t="s">
        <v>180</v>
      </c>
      <c r="AA25" s="68" t="s">
        <v>181</v>
      </c>
      <c r="AB25" s="68" t="s">
        <v>182</v>
      </c>
      <c r="AC25" s="68" t="s">
        <v>129</v>
      </c>
      <c r="AD25" s="68" t="s">
        <v>183</v>
      </c>
      <c r="AH25" s="68" t="s">
        <v>185</v>
      </c>
      <c r="AL25" s="68" t="s">
        <v>215</v>
      </c>
      <c r="AM25" s="68" t="s">
        <v>216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190</v>
      </c>
      <c r="N26" s="68" t="s">
        <v>191</v>
      </c>
      <c r="O26" s="68" t="s">
        <v>192</v>
      </c>
      <c r="Q26" s="68" t="s">
        <v>193</v>
      </c>
      <c r="R26" s="68" t="s">
        <v>194</v>
      </c>
      <c r="T26" s="68" t="s">
        <v>196</v>
      </c>
      <c r="U26" s="68" t="s">
        <v>195</v>
      </c>
      <c r="X26" s="68" t="s">
        <v>196</v>
      </c>
      <c r="Y26" s="68" t="s">
        <v>197</v>
      </c>
      <c r="Z26" s="68" t="s">
        <v>198</v>
      </c>
      <c r="AA26" s="68" t="s">
        <v>199</v>
      </c>
      <c r="AB26" s="68" t="s">
        <v>200</v>
      </c>
      <c r="AC26" s="68" t="s">
        <v>132</v>
      </c>
      <c r="AD26" s="68" t="s">
        <v>201</v>
      </c>
      <c r="AL26" s="68" t="s">
        <v>217</v>
      </c>
      <c r="AM26" s="68" t="s">
        <v>218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147</v>
      </c>
      <c r="N24" s="68" t="s">
        <v>148</v>
      </c>
      <c r="O24" s="68" t="s">
        <v>149</v>
      </c>
      <c r="P24" s="68" t="s">
        <v>150</v>
      </c>
      <c r="Q24" s="68" t="s">
        <v>151</v>
      </c>
      <c r="R24" s="68" t="s">
        <v>152</v>
      </c>
      <c r="S24" s="68" t="s">
        <v>214</v>
      </c>
      <c r="T24" s="68" t="s">
        <v>153</v>
      </c>
      <c r="U24" s="68" t="s">
        <v>154</v>
      </c>
      <c r="V24" s="68" t="s">
        <v>155</v>
      </c>
      <c r="W24" s="68" t="s">
        <v>125</v>
      </c>
      <c r="X24" s="68" t="s">
        <v>156</v>
      </c>
      <c r="Y24" s="68" t="s">
        <v>157</v>
      </c>
      <c r="Z24" s="68" t="s">
        <v>158</v>
      </c>
      <c r="AA24" s="68" t="s">
        <v>159</v>
      </c>
      <c r="AB24" s="68" t="s">
        <v>160</v>
      </c>
      <c r="AC24" s="68" t="s">
        <v>126</v>
      </c>
      <c r="AD24" s="68" t="s">
        <v>161</v>
      </c>
      <c r="AE24" s="68" t="s">
        <v>162</v>
      </c>
      <c r="AF24" s="68" t="s">
        <v>161</v>
      </c>
      <c r="AG24" s="68" t="s">
        <v>95</v>
      </c>
      <c r="AH24" s="68" t="s">
        <v>163</v>
      </c>
      <c r="AJ24" s="68" t="s">
        <v>96</v>
      </c>
      <c r="AK24" s="68" t="s">
        <v>156</v>
      </c>
      <c r="AL24" s="68" t="s">
        <v>157</v>
      </c>
      <c r="AM24" s="68" t="s">
        <v>164</v>
      </c>
      <c r="AN24" s="68" t="s">
        <v>165</v>
      </c>
      <c r="AO24" s="68" t="s">
        <v>166</v>
      </c>
      <c r="AP24" s="68" t="s">
        <v>167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168</v>
      </c>
      <c r="N25" s="68" t="s">
        <v>169</v>
      </c>
      <c r="O25" s="68" t="s">
        <v>170</v>
      </c>
      <c r="Q25" s="68" t="s">
        <v>172</v>
      </c>
      <c r="R25" s="68" t="s">
        <v>173</v>
      </c>
      <c r="T25" s="68" t="s">
        <v>178</v>
      </c>
      <c r="U25" s="68" t="s">
        <v>174</v>
      </c>
      <c r="X25" s="68" t="s">
        <v>178</v>
      </c>
      <c r="Y25" s="68" t="s">
        <v>179</v>
      </c>
      <c r="Z25" s="68" t="s">
        <v>180</v>
      </c>
      <c r="AA25" s="68" t="s">
        <v>181</v>
      </c>
      <c r="AB25" s="68" t="s">
        <v>182</v>
      </c>
      <c r="AC25" s="68" t="s">
        <v>129</v>
      </c>
      <c r="AD25" s="68" t="s">
        <v>183</v>
      </c>
      <c r="AH25" s="68" t="s">
        <v>185</v>
      </c>
      <c r="AL25" s="68" t="s">
        <v>215</v>
      </c>
      <c r="AM25" s="68" t="s">
        <v>216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190</v>
      </c>
      <c r="N26" s="68" t="s">
        <v>191</v>
      </c>
      <c r="O26" s="68" t="s">
        <v>192</v>
      </c>
      <c r="Q26" s="68" t="s">
        <v>193</v>
      </c>
      <c r="R26" s="68" t="s">
        <v>194</v>
      </c>
      <c r="T26" s="68" t="s">
        <v>196</v>
      </c>
      <c r="U26" s="68" t="s">
        <v>195</v>
      </c>
      <c r="X26" s="68" t="s">
        <v>196</v>
      </c>
      <c r="Y26" s="68" t="s">
        <v>197</v>
      </c>
      <c r="Z26" s="68" t="s">
        <v>198</v>
      </c>
      <c r="AA26" s="68" t="s">
        <v>199</v>
      </c>
      <c r="AB26" s="68" t="s">
        <v>200</v>
      </c>
      <c r="AC26" s="68" t="s">
        <v>132</v>
      </c>
      <c r="AD26" s="68" t="s">
        <v>201</v>
      </c>
      <c r="AL26" s="68" t="s">
        <v>217</v>
      </c>
      <c r="AM26" s="68" t="s">
        <v>218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9948-7BE9-4D05-B4B9-941350159E85}">
  <dimension ref="A1:E13"/>
  <sheetViews>
    <sheetView workbookViewId="0"/>
  </sheetViews>
  <sheetFormatPr defaultRowHeight="15"/>
  <sheetData>
    <row r="1" spans="1:5">
      <c r="A1" s="68" t="s">
        <v>138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220</v>
      </c>
    </row>
    <row r="4" spans="1:5">
      <c r="A4" s="68" t="s">
        <v>0</v>
      </c>
      <c r="B4" s="68" t="s">
        <v>6</v>
      </c>
      <c r="C4" s="68" t="s">
        <v>221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2025-09-03T04:01:10Z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