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F:\YUENFUN\XLS\NUHS Cluster (Monthly Report)\2025\"/>
    </mc:Choice>
  </mc:AlternateContent>
  <xr:revisionPtr revIDLastSave="0" documentId="8_{12737DC0-B29C-4371-B9B8-E7E753CA0465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ption" sheetId="1" state="hidden" r:id="rId1"/>
    <sheet name="Data" sheetId="2" r:id="rId2"/>
    <sheet name="Sheet1" sheetId="4" r:id="rId3"/>
    <sheet name="Customer Code" sheetId="6" r:id="rId4"/>
    <sheet name="Sheet2" sheetId="25" state="veryHidden" r:id="rId5"/>
    <sheet name="Sheet3" sheetId="26" state="veryHidden" r:id="rId6"/>
    <sheet name="Sheet4" sheetId="27" state="veryHidden" r:id="rId7"/>
    <sheet name="Sheet5" sheetId="28" state="veryHidden" r:id="rId8"/>
    <sheet name="Sheet8" sheetId="35" state="veryHidden" r:id="rId9"/>
    <sheet name="Sheet9" sheetId="36" state="very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32" i="2" l="1"/>
  <c r="AK32" i="2"/>
  <c r="AH32" i="2"/>
  <c r="AE32" i="2"/>
  <c r="AC32" i="2"/>
  <c r="AA32" i="2"/>
  <c r="Z32" i="2"/>
  <c r="Y32" i="2"/>
  <c r="X32" i="2"/>
  <c r="U32" i="2"/>
  <c r="T32" i="2"/>
  <c r="S32" i="2"/>
  <c r="R32" i="2"/>
  <c r="P32" i="2"/>
  <c r="O32" i="2"/>
  <c r="L32" i="2"/>
  <c r="K32" i="2"/>
  <c r="B32" i="2" s="1"/>
  <c r="E32" i="2"/>
  <c r="AL31" i="2"/>
  <c r="AK31" i="2"/>
  <c r="AH31" i="2"/>
  <c r="AE31" i="2"/>
  <c r="AC31" i="2"/>
  <c r="AA31" i="2"/>
  <c r="Z31" i="2"/>
  <c r="Y31" i="2"/>
  <c r="X31" i="2"/>
  <c r="U31" i="2"/>
  <c r="T31" i="2"/>
  <c r="S31" i="2"/>
  <c r="R31" i="2"/>
  <c r="P31" i="2"/>
  <c r="O31" i="2"/>
  <c r="L31" i="2"/>
  <c r="K31" i="2"/>
  <c r="B31" i="2" s="1"/>
  <c r="E31" i="2"/>
  <c r="AL30" i="2"/>
  <c r="AK30" i="2"/>
  <c r="AH30" i="2"/>
  <c r="AE30" i="2"/>
  <c r="AC30" i="2"/>
  <c r="AA30" i="2"/>
  <c r="Z30" i="2"/>
  <c r="Y30" i="2"/>
  <c r="X30" i="2"/>
  <c r="U30" i="2"/>
  <c r="T30" i="2"/>
  <c r="S30" i="2"/>
  <c r="R30" i="2"/>
  <c r="P30" i="2"/>
  <c r="O30" i="2"/>
  <c r="L30" i="2"/>
  <c r="K30" i="2"/>
  <c r="E30" i="2"/>
  <c r="B30" i="2"/>
  <c r="AL29" i="2"/>
  <c r="AK29" i="2"/>
  <c r="AH29" i="2"/>
  <c r="AE29" i="2"/>
  <c r="AC29" i="2"/>
  <c r="AA29" i="2"/>
  <c r="Z29" i="2"/>
  <c r="Y29" i="2"/>
  <c r="X29" i="2"/>
  <c r="U29" i="2"/>
  <c r="T29" i="2"/>
  <c r="S29" i="2"/>
  <c r="R29" i="2"/>
  <c r="P29" i="2"/>
  <c r="O29" i="2"/>
  <c r="L29" i="2"/>
  <c r="K29" i="2"/>
  <c r="B29" i="2" s="1"/>
  <c r="E29" i="2"/>
  <c r="AL28" i="2"/>
  <c r="AK28" i="2"/>
  <c r="AH28" i="2"/>
  <c r="AE28" i="2"/>
  <c r="AC28" i="2"/>
  <c r="AA28" i="2"/>
  <c r="Z28" i="2"/>
  <c r="Y28" i="2"/>
  <c r="X28" i="2"/>
  <c r="U28" i="2"/>
  <c r="T28" i="2"/>
  <c r="S28" i="2"/>
  <c r="R28" i="2"/>
  <c r="P28" i="2"/>
  <c r="O28" i="2"/>
  <c r="L28" i="2"/>
  <c r="K28" i="2"/>
  <c r="B28" i="2" s="1"/>
  <c r="E28" i="2"/>
  <c r="AL27" i="2"/>
  <c r="AK27" i="2"/>
  <c r="AH27" i="2"/>
  <c r="AE27" i="2"/>
  <c r="AC27" i="2"/>
  <c r="AA27" i="2"/>
  <c r="Z27" i="2"/>
  <c r="Y27" i="2"/>
  <c r="X27" i="2"/>
  <c r="U27" i="2"/>
  <c r="T27" i="2"/>
  <c r="S27" i="2"/>
  <c r="R27" i="2"/>
  <c r="P27" i="2"/>
  <c r="O27" i="2"/>
  <c r="L27" i="2"/>
  <c r="K27" i="2"/>
  <c r="B27" i="2" s="1"/>
  <c r="E27" i="2"/>
  <c r="E24" i="2"/>
  <c r="K24" i="2"/>
  <c r="L24" i="2"/>
  <c r="O24" i="2"/>
  <c r="P24" i="2"/>
  <c r="R24" i="2"/>
  <c r="S24" i="2"/>
  <c r="T24" i="2"/>
  <c r="U24" i="2"/>
  <c r="X24" i="2"/>
  <c r="Y24" i="2"/>
  <c r="Z24" i="2"/>
  <c r="AA24" i="2"/>
  <c r="AC24" i="2"/>
  <c r="AE24" i="2"/>
  <c r="AH24" i="2"/>
  <c r="AK24" i="2"/>
  <c r="AL24" i="2"/>
  <c r="AN24" i="2"/>
  <c r="AO24" i="2"/>
  <c r="E25" i="2"/>
  <c r="K25" i="2"/>
  <c r="L25" i="2"/>
  <c r="O25" i="2"/>
  <c r="R25" i="2"/>
  <c r="S25" i="2"/>
  <c r="T25" i="2"/>
  <c r="V25" i="2"/>
  <c r="Y25" i="2"/>
  <c r="Z25" i="2"/>
  <c r="AA25" i="2"/>
  <c r="AB25" i="2"/>
  <c r="AD25" i="2"/>
  <c r="AE25" i="2"/>
  <c r="AF25" i="2"/>
  <c r="AG25" i="2"/>
  <c r="AH25" i="2"/>
  <c r="E26" i="2"/>
  <c r="K26" i="2"/>
  <c r="L26" i="2"/>
  <c r="O26" i="2"/>
  <c r="R26" i="2"/>
  <c r="S26" i="2"/>
  <c r="T26" i="2"/>
  <c r="V26" i="2"/>
  <c r="Y26" i="2"/>
  <c r="Z26" i="2"/>
  <c r="AA26" i="2"/>
  <c r="AB26" i="2"/>
  <c r="AD26" i="2"/>
  <c r="AE26" i="2"/>
  <c r="AF26" i="2"/>
  <c r="AG26" i="2"/>
  <c r="AH26" i="2"/>
  <c r="D5" i="1"/>
  <c r="B9" i="6"/>
  <c r="B8" i="6"/>
  <c r="B7" i="6"/>
  <c r="H6" i="2"/>
  <c r="H5" i="2"/>
  <c r="H4" i="2"/>
  <c r="E2" i="2"/>
  <c r="C26" i="1"/>
  <c r="C25" i="1"/>
  <c r="C24" i="1"/>
  <c r="D15" i="1"/>
  <c r="D14" i="1"/>
  <c r="D13" i="1"/>
  <c r="C13" i="1" s="1"/>
  <c r="E16" i="2" s="1"/>
  <c r="C12" i="1"/>
  <c r="E15" i="2" s="1"/>
  <c r="C11" i="1"/>
  <c r="E14" i="2" s="1"/>
  <c r="C10" i="1"/>
  <c r="E13" i="2" s="1"/>
  <c r="C5" i="1"/>
  <c r="E12" i="2" s="1"/>
  <c r="C4" i="1"/>
  <c r="C3" i="1"/>
  <c r="C9" i="1" s="1"/>
  <c r="E11" i="2" s="1"/>
  <c r="AC26" i="2" l="1"/>
  <c r="AC25" i="2"/>
  <c r="B25" i="2"/>
  <c r="B26" i="2"/>
  <c r="D6" i="2"/>
  <c r="D5" i="2"/>
  <c r="I5" i="2"/>
  <c r="I6" i="2"/>
  <c r="D4" i="2"/>
  <c r="E4" i="2" s="1"/>
  <c r="C8" i="1"/>
  <c r="E5" i="2" l="1"/>
  <c r="E6" i="2"/>
  <c r="B24" i="2"/>
</calcChain>
</file>

<file path=xl/sharedStrings.xml><?xml version="1.0" encoding="utf-8"?>
<sst xmlns="http://schemas.openxmlformats.org/spreadsheetml/2006/main" count="909" uniqueCount="209">
  <si>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</si>
  <si>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</si>
  <si>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</si>
  <si>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</si>
  <si>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</si>
  <si>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</si>
  <si>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</si>
  <si>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</si>
  <si>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</si>
  <si>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</si>
  <si>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</si>
  <si>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</si>
  <si>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</si>
  <si>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</si>
  <si>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</si>
  <si>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PO No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</si>
  <si>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</si>
  <si>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</si>
  <si>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</si>
  <si>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</si>
  <si>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</si>
  <si>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</si>
  <si>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</si>
  <si>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</si>
  <si>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</si>
  <si>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</si>
  <si>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</si>
  <si>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</si>
  <si>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</si>
  <si>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</si>
  <si>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</si>
  <si>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</si>
  <si>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</si>
  <si>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Primary Public Cust No</t>
  </si>
  <si>
    <t>Cust Pur No</t>
  </si>
  <si>
    <t>Usage Period</t>
  </si>
  <si>
    <t>Items</t>
  </si>
  <si>
    <t>User</t>
  </si>
  <si>
    <t>Institution</t>
  </si>
  <si>
    <t>MSENR</t>
  </si>
  <si>
    <t>1/11/10 to 31/10/2013</t>
  </si>
  <si>
    <t>Script3</t>
  </si>
  <si>
    <t>ENR</t>
  </si>
  <si>
    <t>PRODTYPE</t>
  </si>
  <si>
    <t>BPCODE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</si>
  <si>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</t>
  </si>
  <si>
    <t>Hide+?</t>
  </si>
  <si>
    <t>ORDER</t>
  </si>
  <si>
    <t>NL1 - IN</t>
  </si>
  <si>
    <t>NL2 - DO-ENR</t>
  </si>
  <si>
    <t>NL3 - DO-MSENR</t>
  </si>
  <si>
    <t xml:space="preserve">SELECT DOCNUM, CUSTREF, U_CUSTREF, DOCDATE,TAXDATE, CARDCODE,CARDNAME,ITEMCODE,ITEMNAME,QUANTITY,U_TLINTCOS,SLPNAME,SLPCODE,MEMO,CONTACTNAME, LINETOTAL ,U_ENR, U_MSENR,U_MSPCN,U_SONO,U_PONO,U_PODATE, ADDRESS2 FROM   </t>
  </si>
  <si>
    <t xml:space="preserve">SELECT DOCNUM, CUSTREF, U_CUSTREF, DOCDATE,TAXDATE, CARDCODE,CARDNAME,ITEMCODE,ITEMNAME,QUANTITY,U_TLINTCOS,SLPNAME,SLPCODE,MEMO,CONTACTNAME, LINETOTAL ,U_ENR, U_MSENR,U_MSPCN,U_SONO,U_PONO,U_PODATE, ADDRESS2  FROM   </t>
  </si>
  <si>
    <t>hide</t>
  </si>
  <si>
    <t>FACT FIG( ENR = 'S7138270','7138270' Or MSENR = 'S7138270','7138270' ) 
ITM( ItemCode &lt;&gt; 'YX-A/C RECOVERABLE' And ItemCode &lt;&gt; 'YX-SSUP' And ItemCode &lt;&gt; '101' And ItemCode &lt;&gt; '102' And ItemCode &lt;&gt; '103' And ItemCode &lt;&gt; '104' And ItemCode &lt;&gt; '105' And ItemCode = #NULL Or PRODTYPE_1 = 'MS' ) 
SLP( @SalesEmployee ) ARDT( Code = 'Invoice' ) PER( @Period )  
BPA( CardCode = 'CI1148-SGD','CN0035-SGD','CN0097-SGD','CN0245-SGD' Or CardCode = 'CA0035-SGD','CA0213-SGD','CJ0032-SGD','CJ0050-SGD','CJ0054-SGD' Or CardCode = 'CI1238-SGD','CI1244-SGD','CI1252-SGD','CI1278-SGD','CI1305-SGD','CN0025-SGD':'CN0026-SGD','CJ0032-SGD','CN0170-SGD','CN0210-SGD','CN0384-SGD','CT0005-SGD' Or CardCode = 'CI1296-SGD','CA0216-SGD','CT0122-SGD' )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</si>
  <si>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"CA0035-SGD","CN0384-SGD","CA0213-SGD","CJ0032-SGD","CJ0050-SGD","CJ0054-SGD" Or CardCode = "CI1238-SGD","CI1244-SGD","CI1252-SGD","CI1278-SGD","CI1305-SGD","CN0025-SGD":"CN0026-SGD","CN0170-SGD","CN0210-SGD","CT0005-SGD" Or CardCode = "CI1296-SGD","CA0216-SGD","CJ0032-SGD","CT0122-SGD" ) 
FIG( MSENR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</si>
  <si>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"CA0035-SGD","CA0213-SGD","CJ0032-SGD","CJ0050-SGD","CJ0054-SGD" Or CardCode = "CI1238-SGD","CN0384-SGD","CI1244-SGD","CI1252-SGD","CI1278-SGD","CI1305-SGD","CN0025-SGD":"CN0026-SGD","CN0170-SGD","CN0210-SGD","CT0005-SGD" Or CardCode = "CI1296-SGD","CA0216-SGD","CJ0032-SGD","CT0122-SGD" ) 
FIG( 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</si>
  <si>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Unit Price</t>
  </si>
  <si>
    <t>Total</t>
  </si>
  <si>
    <t>SO_DocNum</t>
  </si>
  <si>
    <t>SO_DocDate</t>
  </si>
  <si>
    <t>BPA - CardCode</t>
  </si>
  <si>
    <t>BPA - CardName</t>
  </si>
  <si>
    <t>MSPCN</t>
  </si>
  <si>
    <t>CUSTREF</t>
  </si>
  <si>
    <t>ITM - ItemCode</t>
  </si>
  <si>
    <t>ITM - ItemName</t>
  </si>
  <si>
    <t>SLP - Memo</t>
  </si>
  <si>
    <t>SO_Quantity</t>
  </si>
  <si>
    <t>BPA - CntctPrsn</t>
  </si>
  <si>
    <t>SO_Address2</t>
  </si>
  <si>
    <t>PODATE</t>
  </si>
  <si>
    <t>PONO</t>
  </si>
  <si>
    <t>SO_LineTotal</t>
  </si>
  <si>
    <t>x</t>
  </si>
  <si>
    <t>Auto+Hide</t>
  </si>
  <si>
    <t>NUHS</t>
  </si>
  <si>
    <t>Original Code before Mar 2020</t>
  </si>
  <si>
    <t>Month</t>
  </si>
  <si>
    <t>Year</t>
  </si>
  <si>
    <t>Cluster</t>
  </si>
  <si>
    <t>Date of Licenses key Emailed</t>
  </si>
  <si>
    <t>Elasped days for delivery</t>
  </si>
  <si>
    <t>Bulk Purchase Discount %</t>
  </si>
  <si>
    <t>PO Value</t>
  </si>
  <si>
    <t>Reseller</t>
  </si>
  <si>
    <t>Delivery Location</t>
  </si>
  <si>
    <t>Category</t>
  </si>
  <si>
    <t>Software  Brand</t>
  </si>
  <si>
    <t>Software  SKU/Part No</t>
  </si>
  <si>
    <t>Software  Name</t>
  </si>
  <si>
    <t>Software  Subscription</t>
  </si>
  <si>
    <t>Software License Commencement Date</t>
  </si>
  <si>
    <t>Software License End Date</t>
  </si>
  <si>
    <t>Remarks</t>
  </si>
  <si>
    <t xml:space="preserve"> </t>
  </si>
  <si>
    <t>UIC</t>
  </si>
  <si>
    <t>Microsoft</t>
  </si>
  <si>
    <t>PCN</t>
  </si>
  <si>
    <t>NUHS Cusomer  Code</t>
  </si>
  <si>
    <t>="*"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</si>
  <si>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</si>
  <si>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</si>
  <si>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</si>
  <si>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="'S7138270','7138270' ,'s7138270'"</t>
  </si>
  <si>
    <t>="'MS'"</t>
  </si>
  <si>
    <t>=$D$13&amp;$D$14&amp;$D$15</t>
  </si>
  <si>
    <t>="'CI1148-SGD','CN0035-SGD', 'CA0035-SGD','CN0359-SGD','CJ0050-SGD', 'CG0164-SGD','CY0036-SGD','CI1244-SGD',"</t>
  </si>
  <si>
    <t>="'CI1252-SGD','CI1278-SGD','CI1305-SGD','CN0025-SGD','CN0026-SGD','CN0170-SGD','CN0210-SGD','CI1296-SGD','CA0216-SGD','CT0122-SGD'"</t>
  </si>
  <si>
    <t>="'CI1148-SGD','CN0035-SGD','CN0097-SGD','CN0245-SGD' , 'CA0035-SGD','CA0213-SGD','CJ0032-SGD','CJ0050-SGD','CJ0054-SGD' , 'CI1238-SGD','CG0164-SGD','CY0036-SGD','CI1244-SGD',"</t>
  </si>
  <si>
    <t>="'CI1252-SGD','CI1278-SGD','CI1305-SGD','CN0025-SGD','CN0026-SGD','CJ0032-SGD','CN0170-SGD','CN0210-SGD','CN0384-SGD','CT0005-SGD' , 'CI1296-SGD','CA0216-SGD','CT0122-SGD'"</t>
  </si>
  <si>
    <t>="'CW0080-SGD','CY0036-SGD','CA0362-SGD','CN0449-SGD','CW0080-SGD','CG0164-SGD'"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</si>
  <si>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</si>
  <si>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</si>
  <si>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</si>
  <si>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</si>
  <si>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</si>
  <si>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</si>
  <si>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</si>
  <si>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</si>
  <si>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</si>
  <si>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</si>
  <si>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</si>
  <si>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</si>
  <si>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</si>
  <si>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</si>
  <si>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</si>
  <si>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</si>
  <si>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=IF(K24="","Hide","Show")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</si>
  <si>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</si>
  <si>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</si>
  <si>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</si>
  <si>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=IF(K25="","Hide","Show")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</si>
  <si>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</si>
  <si>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=IF(K26="","Hide","Show")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</si>
  <si>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</si>
  <si>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=SUBTOTAL(9,AC24:AC27)</t>
  </si>
  <si>
    <t>Auto+Hide+HideSheet+Formulas=Sheet2,Sheet3+FormulasOnly</t>
  </si>
  <si>
    <t>Auto+Hide+Values+Formulas=Sheet4,Sheet5+FormulasOnly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</si>
  <si>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</si>
  <si>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</si>
  <si>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</si>
  <si>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</si>
  <si>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</si>
  <si>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</si>
  <si>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=IFERROR(NF($E24,"U_CUSTREF"),"-")</t>
  </si>
  <si>
    <t>=IFERROR(NF($E24,"U_PONo"),"-")</t>
  </si>
  <si>
    <t>=IFERROR(NF($E24,"U_PODate"),"-")</t>
  </si>
  <si>
    <t>=IFERROR(NF($E24,"DOCdate"),"-")</t>
  </si>
  <si>
    <t>=SUM(N24-V24)</t>
  </si>
  <si>
    <t>=IFERROR(NF($E24,"ITEMCODE"),"-")</t>
  </si>
  <si>
    <t>=IFERROR(NF($E24,"ITEMNAME"),"-")</t>
  </si>
  <si>
    <t>=IFERROR(NF($E24,"MEMO"),"-")</t>
  </si>
  <si>
    <t>=IFERROR(NF($E24,"QUANTITY"),"-")</t>
  </si>
  <si>
    <t>=IFERROR(AD24/AB24,0)</t>
  </si>
  <si>
    <t>=IFERROR(NF($E24,"LINETOTAL"),"-")</t>
  </si>
  <si>
    <t>=IFERROR(NF($E24,"U_BPurDisc"),"-")</t>
  </si>
  <si>
    <t>=IFERROR(NF($E24,"ADDRESS2"),"-")</t>
  </si>
  <si>
    <t>=IFERROR(NF($E24,"ItemCode"),"-")</t>
  </si>
  <si>
    <t>=IFERROR(NF($E24,"ItemName"),"-")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</si>
  <si>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</si>
  <si>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</si>
  <si>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</si>
  <si>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</si>
  <si>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=IFERROR(NF($E25,"DOCNUM"),"-")</t>
  </si>
  <si>
    <t>=IFERROR(NF($E25,"DOCDATE"),"-")</t>
  </si>
  <si>
    <t>=IFERROR(NF($E25,"U_MSENR"),"-")</t>
  </si>
  <si>
    <t>=IFERROR(NF($E25,"CARDCODE"),"-")</t>
  </si>
  <si>
    <t>=IFERROR(NF($E25,"CARDNAME"),"-")</t>
  </si>
  <si>
    <t>=IFERROR(NF($E25,"ITEMCODE"),"-")</t>
  </si>
  <si>
    <t>=IFERROR(NF($E25,"U_CUSTREF"),"-")</t>
  </si>
  <si>
    <t>=IFERROR(NF($E25,"ITEMNAME"),"-")</t>
  </si>
  <si>
    <t>=IFERROR(NF($E25,"MEMO"),"-")</t>
  </si>
  <si>
    <t>=IFERROR(NF($E25,"QUANTITY"),"-")</t>
  </si>
  <si>
    <t>=IFERROR(AD25/AB25,0)</t>
  </si>
  <si>
    <t>=IFERROR(NF($E25,"LINETOTAL"),"-")</t>
  </si>
  <si>
    <t>=IFERROR(NF($E25,"CONTACTNAME"),"-")</t>
  </si>
  <si>
    <t>=IFERROR(NF($E25,"ADDRESS2"),"-")</t>
  </si>
  <si>
    <t>=IFERROR(NF($E25,"U_PODATE"),"-")</t>
  </si>
  <si>
    <t>=IFERROR(NF($E25,"U_PONO"),"-")</t>
  </si>
  <si>
    <t>=IFERROR(NF($E26,"DOCNUM"),"-")</t>
  </si>
  <si>
    <t>=IFERROR(NF($E26,"DOCDATE"),"-")</t>
  </si>
  <si>
    <t>=IFERROR(NF($E26,"U_MSENR"),"-")</t>
  </si>
  <si>
    <t>=IFERROR(NF($E26,"CARDCODE"),"-")</t>
  </si>
  <si>
    <t>=IFERROR(NF($E26,"CARDNAME"),"-")</t>
  </si>
  <si>
    <t>=IFERROR(NF($E26,"ITEMCODE"),"-")</t>
  </si>
  <si>
    <t>=IFERROR(NF($E26,"U_CUSTREF"),"-")</t>
  </si>
  <si>
    <t>=IFERROR(NF($E26,"ITEMNAME"),"-")</t>
  </si>
  <si>
    <t>=IFERROR(NF($E26,"MEMO"),"-")</t>
  </si>
  <si>
    <t>=IFERROR(NF($E26,"QUANTITY"),"-")</t>
  </si>
  <si>
    <t>=IFERROR(AD26/AB26,0)</t>
  </si>
  <si>
    <t>=IFERROR(NF($E26,"LINETOTAL"),"-")</t>
  </si>
  <si>
    <t>=IFERROR(NF($E26,"CONTACTNAME"),"-")</t>
  </si>
  <si>
    <t>=IFERROR(NF($E26,"ADDRESS2"),"-")</t>
  </si>
  <si>
    <t>=IFERROR(NF($E26,"U_PODATE"),"-")</t>
  </si>
  <si>
    <t>=IFERROR(NF($E26,"U_PONO"),"-")</t>
  </si>
  <si>
    <t>=SUBTOTAL(9,AD24:AD27)</t>
  </si>
  <si>
    <t>="'CW0080-SGD','CY0036-SGD','CW0080-SGD','CS0167-SGD','CS0200-SGD','CG0164-SGD'"</t>
  </si>
  <si>
    <t>Auto+Hide+HideSheet+Formulas=Sheet8,Sheet2,Sheet3</t>
  </si>
  <si>
    <t>Auto+Hide+HideSheet+Formulas=Sheet8,Sheet2,Sheet3+FormulasOnly</t>
  </si>
  <si>
    <t>Auto+Hide+Values+Formulas=Sheet9,Sheet4,Sheet5</t>
  </si>
  <si>
    <t>Auto+Hide+Values+Formulas=Sheet9,Sheet4,Sheet5+FormulasOnly</t>
  </si>
  <si>
    <t>="01/07/2025"</t>
  </si>
  <si>
    <t>="31/07/2025"</t>
  </si>
  <si>
    <t>NUHS Cluster</t>
  </si>
  <si>
    <t>Perpetual</t>
  </si>
  <si>
    <t>Auto</t>
  </si>
  <si>
    <t>LICENSE WITH SA</t>
  </si>
  <si>
    <t>UIC PO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</si>
</sst>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  <numFmt numFmtId="172" formatCode="&quot;$&quot;#,##0.00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u/>
      <sz val="11"/>
      <color rgb="FFFFFFFF"/>
      <name val="Baskerville Old Face"/>
      <family val="1"/>
    </font>
    <font>
      <b/>
      <sz val="12"/>
      <name val="Aharoni"/>
      <charset val="177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name val="Aharoni"/>
      <charset val="177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FFFFFF"/>
      <name val="Baskerville Old Face"/>
      <family val="1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u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79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2" fillId="0" borderId="0" xfId="1" applyFont="1" applyAlignment="1">
      <alignment vertical="top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left" vertical="top"/>
    </xf>
    <xf numFmtId="40" fontId="3" fillId="3" borderId="0" xfId="0" applyNumberFormat="1" applyFont="1" applyFill="1" applyAlignment="1">
      <alignment horizontal="center"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67" fontId="3" fillId="3" borderId="0" xfId="0" applyNumberFormat="1" applyFont="1" applyFill="1" applyAlignment="1">
      <alignment horizontal="center" vertical="top"/>
    </xf>
    <xf numFmtId="1" fontId="0" fillId="0" borderId="0" xfId="0" applyNumberFormat="1" applyAlignment="1">
      <alignment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1" fontId="0" fillId="6" borderId="0" xfId="0" applyNumberFormat="1" applyFill="1" applyAlignment="1">
      <alignment vertical="top"/>
    </xf>
    <xf numFmtId="0" fontId="0" fillId="0" borderId="0" xfId="0" applyAlignment="1">
      <alignment wrapText="1"/>
    </xf>
    <xf numFmtId="0" fontId="6" fillId="7" borderId="0" xfId="0" applyFont="1" applyFill="1"/>
    <xf numFmtId="14" fontId="6" fillId="7" borderId="0" xfId="0" applyNumberFormat="1" applyFont="1" applyFill="1"/>
    <xf numFmtId="40" fontId="6" fillId="7" borderId="0" xfId="0" applyNumberFormat="1" applyFont="1" applyFill="1"/>
    <xf numFmtId="0" fontId="1" fillId="0" borderId="0" xfId="0" applyFont="1"/>
    <xf numFmtId="14" fontId="1" fillId="0" borderId="0" xfId="0" applyNumberFormat="1" applyFont="1"/>
    <xf numFmtId="40" fontId="1" fillId="0" borderId="0" xfId="0" applyNumberFormat="1" applyFont="1"/>
    <xf numFmtId="165" fontId="0" fillId="2" borderId="0" xfId="2" applyNumberFormat="1" applyFon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0" fontId="7" fillId="2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165" fontId="7" fillId="0" borderId="0" xfId="2" applyNumberFormat="1" applyFont="1" applyAlignment="1">
      <alignment vertical="top"/>
    </xf>
    <xf numFmtId="0" fontId="12" fillId="8" borderId="0" xfId="0" applyFont="1" applyFill="1" applyAlignment="1">
      <alignment vertical="top"/>
    </xf>
    <xf numFmtId="14" fontId="0" fillId="2" borderId="0" xfId="0" applyNumberFormat="1" applyFill="1" applyAlignment="1">
      <alignment horizontal="center" vertical="top"/>
    </xf>
    <xf numFmtId="14" fontId="0" fillId="0" borderId="0" xfId="0" applyNumberFormat="1" applyAlignment="1">
      <alignment horizontal="center" vertical="top"/>
    </xf>
    <xf numFmtId="14" fontId="0" fillId="6" borderId="0" xfId="0" applyNumberFormat="1" applyFill="1" applyAlignment="1">
      <alignment horizontal="center" vertical="top"/>
    </xf>
    <xf numFmtId="14" fontId="4" fillId="0" borderId="0" xfId="1" applyNumberFormat="1" applyFont="1" applyAlignment="1">
      <alignment horizontal="center" vertical="top"/>
    </xf>
    <xf numFmtId="0" fontId="4" fillId="0" borderId="0" xfId="1" applyFont="1" applyAlignment="1">
      <alignment horizontal="center" vertical="top" wrapText="1"/>
    </xf>
    <xf numFmtId="165" fontId="11" fillId="3" borderId="0" xfId="2" applyNumberFormat="1" applyFont="1" applyFill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1" fillId="3" borderId="0" xfId="0" applyFont="1" applyFill="1" applyAlignment="1">
      <alignment horizontal="left" vertical="center"/>
    </xf>
    <xf numFmtId="165" fontId="11" fillId="3" borderId="0" xfId="2" applyNumberFormat="1" applyFont="1" applyFill="1" applyAlignment="1">
      <alignment horizontal="left" vertical="center"/>
    </xf>
    <xf numFmtId="0" fontId="14" fillId="0" borderId="0" xfId="0" applyFont="1" applyAlignment="1">
      <alignment horizontal="left" vertical="top"/>
    </xf>
    <xf numFmtId="0" fontId="15" fillId="0" borderId="0" xfId="0" applyFont="1"/>
    <xf numFmtId="0" fontId="0" fillId="0" borderId="0" xfId="0" quotePrefix="1"/>
    <xf numFmtId="0" fontId="11" fillId="3" borderId="0" xfId="0" applyFont="1" applyFill="1" applyAlignment="1">
      <alignment horizontal="left" vertical="center" wrapText="1"/>
    </xf>
    <xf numFmtId="167" fontId="11" fillId="3" borderId="0" xfId="0" applyNumberFormat="1" applyFont="1" applyFill="1" applyAlignment="1">
      <alignment horizontal="left" vertical="center"/>
    </xf>
    <xf numFmtId="14" fontId="11" fillId="3" borderId="0" xfId="0" applyNumberFormat="1" applyFont="1" applyFill="1" applyAlignment="1">
      <alignment horizontal="left" vertical="center"/>
    </xf>
    <xf numFmtId="40" fontId="11" fillId="3" borderId="0" xfId="0" applyNumberFormat="1" applyFont="1" applyFill="1" applyAlignment="1">
      <alignment horizontal="left" vertical="center"/>
    </xf>
    <xf numFmtId="166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/>
    </xf>
    <xf numFmtId="1" fontId="0" fillId="0" borderId="0" xfId="0" applyNumberFormat="1" applyAlignment="1">
      <alignment horizontal="left" vertical="top"/>
    </xf>
    <xf numFmtId="0" fontId="13" fillId="0" borderId="0" xfId="0" applyFont="1" applyAlignment="1">
      <alignment horizontal="left" vertical="top"/>
    </xf>
    <xf numFmtId="40" fontId="0" fillId="0" borderId="0" xfId="2" applyNumberFormat="1" applyFont="1" applyAlignment="1">
      <alignment horizontal="left" vertical="top"/>
    </xf>
    <xf numFmtId="40" fontId="13" fillId="0" borderId="0" xfId="2" applyNumberFormat="1" applyFon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167" fontId="0" fillId="0" borderId="0" xfId="0" applyNumberFormat="1" applyAlignment="1">
      <alignment horizontal="left" vertical="center"/>
    </xf>
    <xf numFmtId="167" fontId="16" fillId="0" borderId="0" xfId="0" applyNumberFormat="1" applyFont="1" applyAlignment="1">
      <alignment horizontal="left" vertical="top"/>
    </xf>
    <xf numFmtId="15" fontId="0" fillId="0" borderId="0" xfId="0" applyNumberFormat="1" applyAlignment="1">
      <alignment horizontal="left" vertical="top"/>
    </xf>
    <xf numFmtId="0" fontId="8" fillId="0" borderId="0" xfId="1" applyFont="1" applyAlignment="1">
      <alignment horizontal="center" vertical="top"/>
    </xf>
    <xf numFmtId="40" fontId="5" fillId="0" borderId="0" xfId="2" applyNumberFormat="1" applyFont="1" applyAlignment="1">
      <alignment horizontal="left" vertical="top"/>
    </xf>
    <xf numFmtId="40" fontId="13" fillId="0" borderId="0" xfId="0" applyNumberFormat="1" applyFont="1" applyAlignment="1">
      <alignment horizontal="left" vertical="top"/>
    </xf>
    <xf numFmtId="172" fontId="13" fillId="0" borderId="0" xfId="2" applyNumberFormat="1" applyFont="1" applyAlignment="1">
      <alignment horizontal="left" vertical="top"/>
    </xf>
    <xf numFmtId="172" fontId="0" fillId="0" borderId="0" xfId="0" applyNumberFormat="1" applyAlignment="1">
      <alignment horizontal="left" vertical="top"/>
    </xf>
    <xf numFmtId="172" fontId="0" fillId="0" borderId="0" xfId="0" applyNumberFormat="1" applyAlignment="1">
      <alignment horizontal="left" vertical="center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opLeftCell="B2" zoomScale="112" zoomScaleNormal="112" workbookViewId="0">
      <selection activeCell="D15" sqref="D15"/>
    </sheetView>
  </sheetViews>
  <sheetFormatPr defaultColWidth="9.140625" defaultRowHeight="15"/>
  <cols>
    <col min="1" max="1" width="21" style="1" hidden="1" customWidth="1"/>
    <col min="2" max="2" width="12.140625" style="4" bestFit="1" customWidth="1"/>
    <col min="3" max="3" width="31.85546875" style="4" customWidth="1"/>
    <col min="4" max="4" width="10.140625" style="4" bestFit="1" customWidth="1"/>
    <col min="5" max="16384" width="9.140625" style="4"/>
  </cols>
  <sheetData>
    <row r="1" spans="1:5" s="1" customFormat="1" hidden="1">
      <c r="A1" s="1" t="s">
        <v>198</v>
      </c>
      <c r="B1" s="1" t="s">
        <v>1</v>
      </c>
      <c r="C1" s="2" t="s">
        <v>2</v>
      </c>
      <c r="D1" s="1" t="s">
        <v>3</v>
      </c>
    </row>
    <row r="2" spans="1:5">
      <c r="B2" s="4" t="s">
        <v>19</v>
      </c>
      <c r="C2" s="4" t="s">
        <v>4</v>
      </c>
    </row>
    <row r="3" spans="1:5">
      <c r="A3" s="1" t="s">
        <v>0</v>
      </c>
      <c r="B3" s="4" t="s">
        <v>5</v>
      </c>
      <c r="C3" s="5" t="str">
        <f>"01/07/2025"</f>
        <v>01/07/2025</v>
      </c>
    </row>
    <row r="4" spans="1:5">
      <c r="A4" s="1" t="s">
        <v>0</v>
      </c>
      <c r="B4" s="4" t="s">
        <v>6</v>
      </c>
      <c r="C4" s="5" t="str">
        <f>"31/07/2025"</f>
        <v>31/07/2025</v>
      </c>
    </row>
    <row r="5" spans="1:5">
      <c r="A5" s="1" t="s">
        <v>0</v>
      </c>
      <c r="B5" s="4" t="s">
        <v>26</v>
      </c>
      <c r="C5" s="4" t="str">
        <f>"*"</f>
        <v>*</v>
      </c>
      <c r="D5" s="4" t="str">
        <f>"Lookup"</f>
        <v>Lookup</v>
      </c>
      <c r="E5" s="4" t="s">
        <v>45</v>
      </c>
    </row>
    <row r="8" spans="1:5">
      <c r="A8" s="1" t="s">
        <v>8</v>
      </c>
      <c r="C8" s="3" t="str">
        <f>TEXT($C$3,"dd/MMM/yyyy") &amp; ".." &amp; TEXT($C$4,"dd/MMM/yyyy")</f>
        <v>01/Jul/2025..31/Jul/2025</v>
      </c>
    </row>
    <row r="9" spans="1:5">
      <c r="A9" s="1" t="s">
        <v>9</v>
      </c>
      <c r="C9" s="3" t="str">
        <f>TEXT($C$3,"yyyyMMdd") &amp; ".." &amp; TEXT($C$4,"yyyyMMdd")</f>
        <v>20250701..20250731</v>
      </c>
    </row>
    <row r="10" spans="1:5">
      <c r="B10" s="4" t="s">
        <v>42</v>
      </c>
      <c r="C10" s="6" t="str">
        <f>"'S7138270','7138270' ,'s7138270'"</f>
        <v>'S7138270','7138270' ,'s7138270'</v>
      </c>
    </row>
    <row r="11" spans="1:5">
      <c r="B11" s="4" t="s">
        <v>39</v>
      </c>
      <c r="C11" s="6" t="str">
        <f>"'S7138270','7138270' ,'s7138270'"</f>
        <v>'S7138270','7138270' ,'s7138270'</v>
      </c>
    </row>
    <row r="12" spans="1:5">
      <c r="B12" s="4" t="s">
        <v>43</v>
      </c>
      <c r="C12" s="6" t="str">
        <f>"'MS'"</f>
        <v>'MS'</v>
      </c>
    </row>
    <row r="13" spans="1:5">
      <c r="B13" s="4" t="s">
        <v>44</v>
      </c>
      <c r="C13" s="4" t="str">
        <f>$D$13&amp;$D$14&amp;$D$15</f>
        <v>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</v>
      </c>
      <c r="D13" s="6" t="str">
        <f>"'CI1148-SGD','CN0035-SGD', 'CA0035-SGD','CN0359-SGD','CJ0050-SGD', 'CG0164-SGD','CY0036-SGD','CI1244-SGD',"</f>
        <v>'CI1148-SGD','CN0035-SGD', 'CA0035-SGD','CN0359-SGD','CJ0050-SGD', 'CG0164-SGD','CY0036-SGD','CI1244-SGD',</v>
      </c>
    </row>
    <row r="14" spans="1:5">
      <c r="D14" s="4" t="str">
        <f>"'CI1252-SGD','CI1278-SGD','CI1305-SGD','CN0025-SGD','CN0026-SGD','CN0170-SGD','CN0210-SGD','CI1296-SGD','CA0216-SGD','CT0122-SGD'"</f>
        <v>'CI1252-SGD','CI1278-SGD','CI1305-SGD','CN0025-SGD','CN0026-SGD','CN0170-SGD','CN0210-SGD','CI1296-SGD','CA0216-SGD','CT0122-SGD'</v>
      </c>
    </row>
    <row r="15" spans="1:5">
      <c r="D15" s="4" t="str">
        <f>"'CW0080-SGD','CY0036-SGD','CW0080-SGD','CS0167-SGD','CS0200-SGD','CG0164-SGD'"</f>
        <v>'CW0080-SGD','CY0036-SGD','CW0080-SGD','CS0167-SGD','CS0200-SGD','CG0164-SGD'</v>
      </c>
    </row>
    <row r="23" spans="3:7">
      <c r="C23" s="43" t="s">
        <v>77</v>
      </c>
    </row>
    <row r="24" spans="3:7">
      <c r="C24" s="6" t="str">
        <f>"'CI1148-SGD','CN0035-SGD','CN0097-SGD','CN0245-SGD' , 'CA0035-SGD','CA0213-SGD','CJ0032-SGD','CJ0050-SGD','CJ0054-SGD' , 'CI1238-SGD','CG0164-SGD','CY0036-SGD','CI1244-SGD',"</f>
        <v>'CI1148-SGD','CN0035-SGD','CN0097-SGD','CN0245-SGD' , 'CA0035-SGD','CA0213-SGD','CJ0032-SGD','CJ0050-SGD','CJ0054-SGD' , 'CI1238-SGD','CG0164-SGD','CY0036-SGD','CI1244-SGD',</v>
      </c>
    </row>
    <row r="25" spans="3:7">
      <c r="C25" s="4" t="str">
        <f>"'CI1252-SGD','CI1278-SGD','CI1305-SGD','CN0025-SGD','CN0026-SGD','CJ0032-SGD','CN0170-SGD','CN0210-SGD','CN0384-SGD','CT0005-SGD' , 'CI1296-SGD','CA0216-SGD','CT0122-SGD'"</f>
        <v>'CI1252-SGD','CI1278-SGD','CI1305-SGD','CN0025-SGD','CN0026-SGD','CJ0032-SGD','CN0170-SGD','CN0210-SGD','CN0384-SGD','CT0005-SGD' , 'CI1296-SGD','CA0216-SGD','CT0122-SGD'</v>
      </c>
    </row>
    <row r="26" spans="3:7">
      <c r="C26" s="4" t="str">
        <f>"'CW0080-SGD','CY0036-SGD','CA0362-SGD','CN0449-SGD','CW0080-SGD','CG0164-SGD'"</f>
        <v>'CW0080-SGD','CY0036-SGD','CA0362-SGD','CN0449-SGD','CW0080-SGD','CG0164-SGD'</v>
      </c>
    </row>
    <row r="27" spans="3:7">
      <c r="F27" s="16"/>
    </row>
    <row r="28" spans="3:7">
      <c r="G28" s="16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9019D-27A4-456D-B2A1-1C0B24B5F630}">
  <dimension ref="A1:AP28"/>
  <sheetViews>
    <sheetView workbookViewId="0"/>
  </sheetViews>
  <sheetFormatPr defaultRowHeight="15"/>
  <sheetData>
    <row r="1" spans="1:33">
      <c r="A1" s="58" t="s">
        <v>201</v>
      </c>
      <c r="B1" s="58" t="s">
        <v>46</v>
      </c>
      <c r="C1" s="58" t="s">
        <v>7</v>
      </c>
      <c r="D1" s="58" t="s">
        <v>7</v>
      </c>
      <c r="E1" s="58" t="s">
        <v>7</v>
      </c>
      <c r="F1" s="58" t="s">
        <v>7</v>
      </c>
      <c r="G1" s="58" t="s">
        <v>7</v>
      </c>
      <c r="H1" s="58" t="s">
        <v>7</v>
      </c>
      <c r="I1" s="58" t="s">
        <v>7</v>
      </c>
      <c r="J1" s="58" t="s">
        <v>53</v>
      </c>
      <c r="K1" s="58" t="s">
        <v>18</v>
      </c>
      <c r="L1" s="58" t="s">
        <v>18</v>
      </c>
      <c r="O1" s="58" t="s">
        <v>18</v>
      </c>
      <c r="P1" s="58" t="s">
        <v>18</v>
      </c>
      <c r="R1" s="58" t="s">
        <v>18</v>
      </c>
      <c r="S1" s="58" t="s">
        <v>18</v>
      </c>
      <c r="T1" s="58" t="s">
        <v>18</v>
      </c>
      <c r="V1" s="58" t="s">
        <v>18</v>
      </c>
      <c r="W1" s="58" t="s">
        <v>18</v>
      </c>
      <c r="Y1" s="58" t="s">
        <v>7</v>
      </c>
      <c r="Z1" s="58" t="s">
        <v>7</v>
      </c>
      <c r="AA1" s="58" t="s">
        <v>18</v>
      </c>
      <c r="AB1" s="58" t="s">
        <v>18</v>
      </c>
      <c r="AE1" s="58" t="s">
        <v>18</v>
      </c>
      <c r="AG1" s="58" t="s">
        <v>18</v>
      </c>
    </row>
    <row r="2" spans="1:33">
      <c r="A2" s="58" t="s">
        <v>7</v>
      </c>
      <c r="D2" s="58" t="s">
        <v>19</v>
      </c>
      <c r="E2" s="58" t="s">
        <v>112</v>
      </c>
    </row>
    <row r="3" spans="1:33">
      <c r="A3" s="58" t="s">
        <v>7</v>
      </c>
      <c r="D3" s="58" t="s">
        <v>22</v>
      </c>
      <c r="E3" s="58" t="s">
        <v>20</v>
      </c>
      <c r="F3" s="58" t="s">
        <v>21</v>
      </c>
      <c r="G3" s="58" t="s">
        <v>23</v>
      </c>
      <c r="H3" s="58" t="s">
        <v>47</v>
      </c>
      <c r="I3" s="58" t="s">
        <v>24</v>
      </c>
    </row>
    <row r="4" spans="1:33">
      <c r="A4" s="58" t="s">
        <v>7</v>
      </c>
      <c r="C4" s="58" t="s">
        <v>11</v>
      </c>
      <c r="D4" s="58" t="s">
        <v>113</v>
      </c>
      <c r="E4" s="58" t="s">
        <v>114</v>
      </c>
      <c r="F4" s="58" t="s">
        <v>51</v>
      </c>
      <c r="G4" s="58" t="s">
        <v>25</v>
      </c>
      <c r="H4" s="58" t="s">
        <v>115</v>
      </c>
    </row>
    <row r="5" spans="1:33">
      <c r="A5" s="58" t="s">
        <v>7</v>
      </c>
      <c r="C5" s="58" t="s">
        <v>10</v>
      </c>
      <c r="D5" s="58" t="s">
        <v>116</v>
      </c>
      <c r="E5" s="58" t="s">
        <v>117</v>
      </c>
      <c r="F5" s="58" t="s">
        <v>52</v>
      </c>
      <c r="G5" s="58" t="s">
        <v>25</v>
      </c>
      <c r="H5" s="58" t="s">
        <v>115</v>
      </c>
      <c r="I5" s="58" t="s">
        <v>118</v>
      </c>
    </row>
    <row r="6" spans="1:33">
      <c r="A6" s="58" t="s">
        <v>7</v>
      </c>
      <c r="C6" s="58" t="s">
        <v>41</v>
      </c>
      <c r="D6" s="58" t="s">
        <v>119</v>
      </c>
      <c r="E6" s="58" t="s">
        <v>120</v>
      </c>
      <c r="F6" s="58" t="s">
        <v>52</v>
      </c>
      <c r="G6" s="58" t="s">
        <v>25</v>
      </c>
      <c r="H6" s="58" t="s">
        <v>115</v>
      </c>
      <c r="I6" s="58" t="s">
        <v>121</v>
      </c>
    </row>
    <row r="7" spans="1:33">
      <c r="A7" s="58" t="s">
        <v>7</v>
      </c>
    </row>
    <row r="8" spans="1:33">
      <c r="A8" s="58" t="s">
        <v>7</v>
      </c>
    </row>
    <row r="9" spans="1:33">
      <c r="A9" s="58" t="s">
        <v>7</v>
      </c>
    </row>
    <row r="10" spans="1:33">
      <c r="A10" s="58" t="s">
        <v>7</v>
      </c>
    </row>
    <row r="11" spans="1:33">
      <c r="A11" s="58" t="s">
        <v>7</v>
      </c>
      <c r="C11" s="58" t="s">
        <v>27</v>
      </c>
      <c r="E11" s="58" t="s">
        <v>122</v>
      </c>
    </row>
    <row r="12" spans="1:33">
      <c r="A12" s="58" t="s">
        <v>7</v>
      </c>
      <c r="C12" s="58" t="s">
        <v>28</v>
      </c>
      <c r="E12" s="58" t="s">
        <v>123</v>
      </c>
    </row>
    <row r="13" spans="1:33">
      <c r="A13" s="58" t="s">
        <v>7</v>
      </c>
      <c r="C13" s="58" t="s">
        <v>42</v>
      </c>
      <c r="E13" s="58" t="s">
        <v>124</v>
      </c>
    </row>
    <row r="14" spans="1:33">
      <c r="A14" s="58" t="s">
        <v>7</v>
      </c>
      <c r="C14" s="58" t="s">
        <v>39</v>
      </c>
      <c r="E14" s="58" t="s">
        <v>125</v>
      </c>
    </row>
    <row r="15" spans="1:33">
      <c r="A15" s="58" t="s">
        <v>7</v>
      </c>
      <c r="C15" s="58" t="s">
        <v>43</v>
      </c>
      <c r="E15" s="58" t="s">
        <v>126</v>
      </c>
    </row>
    <row r="16" spans="1:33">
      <c r="A16" s="58" t="s">
        <v>7</v>
      </c>
      <c r="C16" s="58" t="s">
        <v>44</v>
      </c>
      <c r="E16" s="58" t="s">
        <v>127</v>
      </c>
    </row>
    <row r="17" spans="1:42">
      <c r="A17" s="58" t="s">
        <v>7</v>
      </c>
    </row>
    <row r="18" spans="1:42">
      <c r="A18" s="58" t="s">
        <v>7</v>
      </c>
    </row>
    <row r="21" spans="1:42">
      <c r="K21" s="58" t="s">
        <v>76</v>
      </c>
    </row>
    <row r="23" spans="1:42">
      <c r="E23" s="58" t="s">
        <v>29</v>
      </c>
      <c r="K23" s="58" t="s">
        <v>78</v>
      </c>
      <c r="L23" s="58" t="s">
        <v>79</v>
      </c>
      <c r="M23" s="58" t="s">
        <v>14</v>
      </c>
      <c r="N23" s="58" t="s">
        <v>16</v>
      </c>
      <c r="O23" s="58" t="s">
        <v>30</v>
      </c>
      <c r="P23" s="58" t="s">
        <v>98</v>
      </c>
      <c r="Q23" s="58" t="s">
        <v>80</v>
      </c>
      <c r="R23" s="58" t="s">
        <v>31</v>
      </c>
      <c r="S23" s="58" t="s">
        <v>38</v>
      </c>
      <c r="T23" s="58" t="s">
        <v>34</v>
      </c>
      <c r="U23" s="58" t="s">
        <v>15</v>
      </c>
      <c r="V23" s="58" t="s">
        <v>17</v>
      </c>
      <c r="W23" s="58" t="s">
        <v>81</v>
      </c>
      <c r="X23" s="58" t="s">
        <v>82</v>
      </c>
      <c r="Y23" s="58" t="s">
        <v>36</v>
      </c>
      <c r="Z23" s="58" t="s">
        <v>12</v>
      </c>
      <c r="AA23" s="58" t="s">
        <v>32</v>
      </c>
      <c r="AB23" s="58" t="s">
        <v>13</v>
      </c>
      <c r="AC23" s="58" t="s">
        <v>57</v>
      </c>
      <c r="AD23" s="58" t="s">
        <v>58</v>
      </c>
      <c r="AE23" s="58" t="s">
        <v>83</v>
      </c>
      <c r="AF23" s="58" t="s">
        <v>84</v>
      </c>
      <c r="AG23" s="58" t="s">
        <v>85</v>
      </c>
      <c r="AH23" s="58" t="s">
        <v>86</v>
      </c>
      <c r="AI23" s="58" t="s">
        <v>87</v>
      </c>
      <c r="AJ23" s="58" t="s">
        <v>88</v>
      </c>
      <c r="AK23" s="58" t="s">
        <v>89</v>
      </c>
      <c r="AL23" s="58" t="s">
        <v>90</v>
      </c>
      <c r="AM23" s="58" t="s">
        <v>91</v>
      </c>
      <c r="AN23" s="58" t="s">
        <v>92</v>
      </c>
      <c r="AO23" s="58" t="s">
        <v>93</v>
      </c>
      <c r="AP23" s="58" t="s">
        <v>94</v>
      </c>
    </row>
    <row r="24" spans="1:42">
      <c r="B24" s="58" t="s">
        <v>128</v>
      </c>
      <c r="C24" s="58" t="s">
        <v>48</v>
      </c>
      <c r="E24" s="58" t="s">
        <v>129</v>
      </c>
      <c r="K24" s="58" t="s">
        <v>130</v>
      </c>
      <c r="L24" s="58" t="s">
        <v>131</v>
      </c>
      <c r="M24" s="58" t="s">
        <v>139</v>
      </c>
      <c r="N24" s="58" t="s">
        <v>140</v>
      </c>
      <c r="O24" s="58" t="s">
        <v>141</v>
      </c>
      <c r="P24" s="58" t="s">
        <v>142</v>
      </c>
      <c r="R24" s="58" t="s">
        <v>143</v>
      </c>
      <c r="S24" s="58" t="s">
        <v>144</v>
      </c>
      <c r="T24" s="58" t="s">
        <v>145</v>
      </c>
      <c r="U24" s="58" t="s">
        <v>146</v>
      </c>
      <c r="V24" s="58" t="s">
        <v>147</v>
      </c>
      <c r="W24" s="58" t="s">
        <v>148</v>
      </c>
      <c r="X24" s="58" t="s">
        <v>149</v>
      </c>
      <c r="Y24" s="58" t="s">
        <v>150</v>
      </c>
      <c r="Z24" s="58" t="s">
        <v>151</v>
      </c>
      <c r="AA24" s="58" t="s">
        <v>152</v>
      </c>
      <c r="AB24" s="58" t="s">
        <v>153</v>
      </c>
      <c r="AC24" s="58" t="s">
        <v>154</v>
      </c>
      <c r="AD24" s="58" t="s">
        <v>155</v>
      </c>
      <c r="AE24" s="58" t="s">
        <v>156</v>
      </c>
      <c r="AF24" s="58" t="s">
        <v>155</v>
      </c>
      <c r="AG24" s="58" t="s">
        <v>96</v>
      </c>
      <c r="AH24" s="58" t="s">
        <v>157</v>
      </c>
      <c r="AI24" s="58" t="s">
        <v>95</v>
      </c>
      <c r="AJ24" s="58" t="s">
        <v>97</v>
      </c>
      <c r="AK24" s="58" t="s">
        <v>158</v>
      </c>
      <c r="AL24" s="58" t="s">
        <v>159</v>
      </c>
      <c r="AM24" s="58" t="s">
        <v>160</v>
      </c>
      <c r="AN24" s="58" t="s">
        <v>161</v>
      </c>
      <c r="AO24" s="58" t="s">
        <v>162</v>
      </c>
      <c r="AP24" s="58" t="s">
        <v>163</v>
      </c>
    </row>
    <row r="25" spans="1:42">
      <c r="B25" s="58" t="s">
        <v>132</v>
      </c>
      <c r="C25" s="58" t="s">
        <v>49</v>
      </c>
      <c r="E25" s="58" t="s">
        <v>133</v>
      </c>
      <c r="K25" s="58" t="s">
        <v>164</v>
      </c>
      <c r="L25" s="58" t="s">
        <v>165</v>
      </c>
      <c r="O25" s="58" t="s">
        <v>166</v>
      </c>
      <c r="R25" s="58" t="s">
        <v>167</v>
      </c>
      <c r="S25" s="58" t="s">
        <v>168</v>
      </c>
      <c r="T25" s="58" t="s">
        <v>169</v>
      </c>
      <c r="V25" s="58" t="s">
        <v>170</v>
      </c>
      <c r="Y25" s="58" t="s">
        <v>169</v>
      </c>
      <c r="Z25" s="58" t="s">
        <v>171</v>
      </c>
      <c r="AA25" s="58" t="s">
        <v>172</v>
      </c>
      <c r="AB25" s="58" t="s">
        <v>173</v>
      </c>
      <c r="AC25" s="58" t="s">
        <v>174</v>
      </c>
      <c r="AD25" s="58" t="s">
        <v>175</v>
      </c>
      <c r="AE25" s="58" t="s">
        <v>176</v>
      </c>
      <c r="AF25" s="58" t="s">
        <v>177</v>
      </c>
      <c r="AG25" s="58" t="s">
        <v>178</v>
      </c>
      <c r="AH25" s="58" t="s">
        <v>179</v>
      </c>
    </row>
    <row r="26" spans="1:42">
      <c r="B26" s="58" t="s">
        <v>134</v>
      </c>
      <c r="C26" s="58" t="s">
        <v>50</v>
      </c>
      <c r="E26" s="58" t="s">
        <v>135</v>
      </c>
      <c r="K26" s="58" t="s">
        <v>180</v>
      </c>
      <c r="L26" s="58" t="s">
        <v>181</v>
      </c>
      <c r="O26" s="58" t="s">
        <v>182</v>
      </c>
      <c r="R26" s="58" t="s">
        <v>183</v>
      </c>
      <c r="S26" s="58" t="s">
        <v>184</v>
      </c>
      <c r="T26" s="58" t="s">
        <v>185</v>
      </c>
      <c r="V26" s="58" t="s">
        <v>186</v>
      </c>
      <c r="Y26" s="58" t="s">
        <v>185</v>
      </c>
      <c r="Z26" s="58" t="s">
        <v>187</v>
      </c>
      <c r="AA26" s="58" t="s">
        <v>188</v>
      </c>
      <c r="AB26" s="58" t="s">
        <v>189</v>
      </c>
      <c r="AC26" s="58" t="s">
        <v>190</v>
      </c>
      <c r="AD26" s="58" t="s">
        <v>191</v>
      </c>
      <c r="AE26" s="58" t="s">
        <v>192</v>
      </c>
      <c r="AF26" s="58" t="s">
        <v>193</v>
      </c>
      <c r="AG26" s="58" t="s">
        <v>194</v>
      </c>
      <c r="AH26" s="58" t="s">
        <v>195</v>
      </c>
    </row>
    <row r="28" spans="1:42">
      <c r="AC28" s="58" t="s">
        <v>136</v>
      </c>
      <c r="AD28" s="58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34"/>
  <sheetViews>
    <sheetView tabSelected="1" topLeftCell="S19" zoomScale="85" zoomScaleNormal="85" workbookViewId="0">
      <selection activeCell="X49" sqref="X49"/>
    </sheetView>
  </sheetViews>
  <sheetFormatPr defaultColWidth="9.140625" defaultRowHeight="15"/>
  <cols>
    <col min="1" max="2" width="17.7109375" style="1" hidden="1" customWidth="1"/>
    <col min="3" max="3" width="15.7109375" style="4" hidden="1" customWidth="1"/>
    <col min="4" max="4" width="20.85546875" style="4" hidden="1" customWidth="1"/>
    <col min="5" max="5" width="23.140625" style="4" hidden="1" customWidth="1"/>
    <col min="6" max="6" width="16.140625" style="4" hidden="1" customWidth="1"/>
    <col min="7" max="7" width="12.7109375" style="4" hidden="1" customWidth="1"/>
    <col min="8" max="8" width="9.140625" style="4" hidden="1" customWidth="1"/>
    <col min="9" max="9" width="20" style="8" hidden="1" customWidth="1"/>
    <col min="10" max="10" width="9.140625" style="4" hidden="1" customWidth="1"/>
    <col min="11" max="11" width="8.140625" style="4" bestFit="1" customWidth="1"/>
    <col min="12" max="12" width="6.28515625" style="22" bestFit="1" customWidth="1"/>
    <col min="13" max="14" width="10.7109375" style="22" customWidth="1"/>
    <col min="15" max="15" width="17.28515625" style="18" bestFit="1" customWidth="1"/>
    <col min="16" max="16" width="9.7109375" style="18" bestFit="1" customWidth="1"/>
    <col min="17" max="17" width="16.28515625" style="18" customWidth="1"/>
    <col min="18" max="18" width="11.85546875" style="4" bestFit="1" customWidth="1"/>
    <col min="19" max="19" width="40.5703125" style="4" customWidth="1"/>
    <col min="20" max="20" width="15.140625" style="4" bestFit="1" customWidth="1"/>
    <col min="21" max="21" width="18.140625" style="4" customWidth="1"/>
    <col min="22" max="22" width="10.7109375" style="45" bestFit="1" customWidth="1"/>
    <col min="23" max="23" width="14.5703125" style="8" bestFit="1" customWidth="1"/>
    <col min="24" max="24" width="20.7109375" style="8" customWidth="1"/>
    <col min="25" max="25" width="5.140625" style="4" hidden="1" customWidth="1"/>
    <col min="26" max="26" width="4.42578125" style="4" hidden="1" customWidth="1"/>
    <col min="27" max="27" width="18" style="4" bestFit="1" customWidth="1"/>
    <col min="28" max="28" width="10.5703125" style="20" bestFit="1" customWidth="1"/>
    <col min="29" max="29" width="23.7109375" style="20" customWidth="1"/>
    <col min="30" max="30" width="10.5703125" style="20" bestFit="1" customWidth="1"/>
    <col min="31" max="31" width="13.7109375" style="4" bestFit="1" customWidth="1"/>
    <col min="32" max="32" width="20.7109375" style="4" customWidth="1"/>
    <col min="33" max="33" width="10.5703125" style="4" customWidth="1"/>
    <col min="34" max="34" width="31.7109375" style="4" customWidth="1"/>
    <col min="35" max="35" width="11.28515625" style="37" bestFit="1" customWidth="1"/>
    <col min="36" max="36" width="14.85546875" style="37" customWidth="1"/>
    <col min="37" max="37" width="19.5703125" style="4" customWidth="1"/>
    <col min="38" max="38" width="43.42578125" style="4" customWidth="1"/>
    <col min="39" max="39" width="23.28515625" style="4" customWidth="1"/>
    <col min="40" max="40" width="15.28515625" style="4" customWidth="1"/>
    <col min="41" max="41" width="23" style="4" customWidth="1"/>
    <col min="42" max="42" width="15.5703125" style="4" customWidth="1"/>
    <col min="43" max="16384" width="9.140625" style="4"/>
  </cols>
  <sheetData>
    <row r="1" spans="1:36" s="1" customFormat="1" hidden="1">
      <c r="A1" s="1" t="s">
        <v>200</v>
      </c>
      <c r="B1" s="1" t="s">
        <v>46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4" t="s">
        <v>7</v>
      </c>
      <c r="J1" s="1" t="s">
        <v>53</v>
      </c>
      <c r="K1" s="1" t="s">
        <v>18</v>
      </c>
      <c r="L1" s="23" t="s">
        <v>18</v>
      </c>
      <c r="M1" s="23"/>
      <c r="N1" s="23"/>
      <c r="O1" s="17" t="s">
        <v>18</v>
      </c>
      <c r="P1" s="17" t="s">
        <v>18</v>
      </c>
      <c r="Q1" s="17"/>
      <c r="R1" s="1" t="s">
        <v>18</v>
      </c>
      <c r="S1" s="1" t="s">
        <v>18</v>
      </c>
      <c r="T1" s="1" t="s">
        <v>18</v>
      </c>
      <c r="V1" s="44" t="s">
        <v>18</v>
      </c>
      <c r="W1" s="14" t="s">
        <v>18</v>
      </c>
      <c r="X1" s="14"/>
      <c r="Y1" s="1" t="s">
        <v>7</v>
      </c>
      <c r="Z1" s="1" t="s">
        <v>7</v>
      </c>
      <c r="AA1" s="1" t="s">
        <v>18</v>
      </c>
      <c r="AB1" s="1" t="s">
        <v>18</v>
      </c>
      <c r="AE1" s="1" t="s">
        <v>18</v>
      </c>
      <c r="AG1" s="1" t="s">
        <v>18</v>
      </c>
      <c r="AI1" s="36"/>
      <c r="AJ1" s="36"/>
    </row>
    <row r="2" spans="1:36" hidden="1">
      <c r="A2" s="1" t="s">
        <v>7</v>
      </c>
      <c r="D2" s="4" t="s">
        <v>19</v>
      </c>
      <c r="E2" s="4" t="str">
        <f>Option!$C$2</f>
        <v>UICACS</v>
      </c>
    </row>
    <row r="3" spans="1:36" hidden="1">
      <c r="A3" s="1" t="s">
        <v>7</v>
      </c>
      <c r="D3" s="7" t="s">
        <v>22</v>
      </c>
      <c r="E3" s="7" t="s">
        <v>20</v>
      </c>
      <c r="F3" s="7" t="s">
        <v>21</v>
      </c>
      <c r="G3" s="7" t="s">
        <v>23</v>
      </c>
      <c r="H3" s="7" t="s">
        <v>47</v>
      </c>
      <c r="I3" s="15" t="s">
        <v>24</v>
      </c>
    </row>
    <row r="4" spans="1:36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(U_ENR IN ('S7138270','7138270' ,'s7138270')  OR U_MSENR IN ('S7138270','7138270' ,'s7138270'))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 FROM   UICACS.AF_CV_XL_INVOICE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(U_ENR IN ('S7138270','7138270' ,'s7138270')  OR U_MSENR IN ('S7138270','7138270' ,'s7138270')) AND U_PRODTYPE ='MS' AND %Filter1% AND %Filter2%    ORDER BY DOCNUM, DOCDATE</v>
      </c>
      <c r="F4" s="8" t="s">
        <v>51</v>
      </c>
      <c r="G4" s="4" t="s">
        <v>25</v>
      </c>
      <c r="H4" s="4" t="str">
        <f>" ORDER BY DOCNUM, DOCDATE"</f>
        <v xml:space="preserve"> ORDER BY DOCNUM, DOCDATE</v>
      </c>
    </row>
    <row r="5" spans="1:36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U_ENR IN ('S7138270','7138270' ,'s7138270')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U_ENR IN ('S7138270','7138270' ,'s7138270') 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U_ENR IN ('S7138270','7138270' ,'s7138270')  AND U_PRODTYPE ='MS' AND %Filter1% AND %Filter2%    ORDER BY DOCNUM, DOCDATE</v>
      </c>
      <c r="F5" s="8" t="s">
        <v>52</v>
      </c>
      <c r="G5" s="4" t="s">
        <v>25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U_ENR IN ('S7138270','7138270' ,'s7138270')  AND U_PRODTYPE ='MS' AND %Filter1% AND %Filter2%   </v>
      </c>
    </row>
    <row r="6" spans="1:36" ht="15.75" hidden="1" customHeight="1">
      <c r="A6" s="1" t="s">
        <v>7</v>
      </c>
      <c r="C6" s="4" t="s">
        <v>41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U_MSENR IN ('S7138270','7138270' ,'s7138270')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U_MSENR IN ('S7138270','7138270' ,'s7138270')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U_MSENR IN ('S7138270','7138270' ,'s7138270') AND U_PRODTYPE ='MS' AND %Filter1% AND %Filter2%    ORDER BY DOCNUM, DOCDATE</v>
      </c>
      <c r="F6" s="8" t="s">
        <v>52</v>
      </c>
      <c r="G6" s="4" t="s">
        <v>25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U_MSENR IN ('S7138270','7138270' ,'s7138270') AND U_PRODTYPE ='MS' AND %Filter1% AND %Filter2%   </v>
      </c>
    </row>
    <row r="7" spans="1:36" hidden="1">
      <c r="A7" s="1" t="s">
        <v>7</v>
      </c>
    </row>
    <row r="8" spans="1:36" hidden="1">
      <c r="A8" s="1" t="s">
        <v>7</v>
      </c>
      <c r="K8" s="9"/>
    </row>
    <row r="9" spans="1:36" hidden="1">
      <c r="A9" s="1" t="s">
        <v>7</v>
      </c>
      <c r="K9" s="9"/>
    </row>
    <row r="10" spans="1:36" hidden="1">
      <c r="A10" s="1" t="s">
        <v>7</v>
      </c>
    </row>
    <row r="11" spans="1:36" hidden="1">
      <c r="A11" s="1" t="s">
        <v>7</v>
      </c>
      <c r="C11" s="4" t="s">
        <v>27</v>
      </c>
      <c r="E11" s="4" t="str">
        <f>Option!$C$9</f>
        <v>20250701..20250731</v>
      </c>
      <c r="K11" s="9"/>
    </row>
    <row r="12" spans="1:36" hidden="1">
      <c r="A12" s="1" t="s">
        <v>7</v>
      </c>
      <c r="C12" s="4" t="s">
        <v>28</v>
      </c>
      <c r="E12" s="4" t="str">
        <f>Option!$C$5</f>
        <v>*</v>
      </c>
      <c r="K12" s="9"/>
    </row>
    <row r="13" spans="1:36" hidden="1">
      <c r="A13" s="1" t="s">
        <v>7</v>
      </c>
      <c r="C13" s="4" t="s">
        <v>42</v>
      </c>
      <c r="E13" s="4" t="str">
        <f>Option!$C$10</f>
        <v>'S7138270','7138270' ,'s7138270'</v>
      </c>
      <c r="K13" s="9"/>
    </row>
    <row r="14" spans="1:36" hidden="1">
      <c r="A14" s="1" t="s">
        <v>7</v>
      </c>
      <c r="C14" s="4" t="s">
        <v>39</v>
      </c>
      <c r="E14" s="4" t="str">
        <f>Option!$C$11</f>
        <v>'S7138270','7138270' ,'s7138270'</v>
      </c>
      <c r="K14" s="9"/>
    </row>
    <row r="15" spans="1:36" hidden="1">
      <c r="A15" s="1" t="s">
        <v>7</v>
      </c>
      <c r="C15" s="4" t="s">
        <v>43</v>
      </c>
      <c r="E15" s="4" t="str">
        <f>Option!$C$12</f>
        <v>'MS'</v>
      </c>
      <c r="AG15" s="16"/>
    </row>
    <row r="16" spans="1:36" hidden="1">
      <c r="A16" s="1" t="s">
        <v>7</v>
      </c>
      <c r="C16" s="4" t="s">
        <v>44</v>
      </c>
      <c r="E16" s="4" t="str">
        <f>Option!$C$13</f>
        <v>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</v>
      </c>
    </row>
    <row r="17" spans="1:48" hidden="1">
      <c r="A17" s="1" t="s">
        <v>7</v>
      </c>
    </row>
    <row r="18" spans="1:48" s="24" customFormat="1" hidden="1">
      <c r="A18" s="24" t="s">
        <v>7</v>
      </c>
      <c r="I18" s="25"/>
      <c r="L18" s="26"/>
      <c r="M18" s="26"/>
      <c r="N18" s="26"/>
      <c r="O18" s="27"/>
      <c r="P18" s="27"/>
      <c r="Q18" s="27"/>
      <c r="V18" s="46"/>
      <c r="W18" s="25"/>
      <c r="X18" s="25"/>
      <c r="AB18" s="28"/>
      <c r="AC18" s="28"/>
      <c r="AD18" s="28"/>
      <c r="AI18" s="38"/>
      <c r="AJ18" s="38"/>
    </row>
    <row r="20" spans="1:48" ht="15.75"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47"/>
      <c r="W20" s="48"/>
      <c r="X20" s="48"/>
      <c r="Y20" s="21"/>
      <c r="Z20" s="21"/>
      <c r="AA20" s="21"/>
      <c r="AB20" s="21"/>
      <c r="AC20" s="21"/>
      <c r="AD20" s="21"/>
      <c r="AE20" s="21"/>
      <c r="AF20" s="21"/>
      <c r="AG20" s="21"/>
      <c r="AH20" s="21"/>
    </row>
    <row r="21" spans="1:48" s="40" customFormat="1" ht="18.75">
      <c r="A21" s="39"/>
      <c r="B21" s="39"/>
      <c r="I21" s="41"/>
      <c r="K21" s="73" t="s">
        <v>204</v>
      </c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42"/>
      <c r="AJ21" s="42"/>
    </row>
    <row r="22" spans="1:48" ht="15.75"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47"/>
      <c r="W22" s="48"/>
      <c r="X22" s="48"/>
      <c r="Y22" s="21"/>
      <c r="Z22" s="21"/>
      <c r="AA22" s="21"/>
      <c r="AB22" s="21"/>
      <c r="AC22" s="21"/>
      <c r="AD22" s="21"/>
      <c r="AE22" s="21"/>
      <c r="AF22" s="21"/>
      <c r="AG22" s="21"/>
      <c r="AH22" s="21"/>
    </row>
    <row r="23" spans="1:48" s="50" customFormat="1" ht="63">
      <c r="A23" s="51"/>
      <c r="B23" s="51"/>
      <c r="E23" s="52" t="s">
        <v>29</v>
      </c>
      <c r="I23" s="53"/>
      <c r="K23" s="54" t="s">
        <v>78</v>
      </c>
      <c r="L23" s="54" t="s">
        <v>79</v>
      </c>
      <c r="M23" s="54" t="s">
        <v>14</v>
      </c>
      <c r="N23" s="54" t="s">
        <v>16</v>
      </c>
      <c r="O23" s="60" t="s">
        <v>30</v>
      </c>
      <c r="P23" s="54" t="s">
        <v>98</v>
      </c>
      <c r="Q23" s="54" t="s">
        <v>80</v>
      </c>
      <c r="R23" s="54" t="s">
        <v>31</v>
      </c>
      <c r="S23" s="54" t="s">
        <v>38</v>
      </c>
      <c r="T23" s="54" t="s">
        <v>34</v>
      </c>
      <c r="U23" s="61" t="s">
        <v>208</v>
      </c>
      <c r="V23" s="61" t="s">
        <v>17</v>
      </c>
      <c r="W23" s="59" t="s">
        <v>81</v>
      </c>
      <c r="X23" s="59" t="s">
        <v>82</v>
      </c>
      <c r="Y23" s="62" t="s">
        <v>36</v>
      </c>
      <c r="Z23" s="62" t="s">
        <v>12</v>
      </c>
      <c r="AA23" s="54" t="s">
        <v>32</v>
      </c>
      <c r="AB23" s="54" t="s">
        <v>13</v>
      </c>
      <c r="AC23" s="55" t="s">
        <v>57</v>
      </c>
      <c r="AD23" s="55" t="s">
        <v>58</v>
      </c>
      <c r="AE23" s="49" t="s">
        <v>83</v>
      </c>
      <c r="AF23" s="49" t="s">
        <v>84</v>
      </c>
      <c r="AG23" s="49" t="s">
        <v>85</v>
      </c>
      <c r="AH23" s="49" t="s">
        <v>86</v>
      </c>
      <c r="AI23" s="59" t="s">
        <v>87</v>
      </c>
      <c r="AJ23" s="59" t="s">
        <v>88</v>
      </c>
      <c r="AK23" s="59" t="s">
        <v>89</v>
      </c>
      <c r="AL23" s="59" t="s">
        <v>90</v>
      </c>
      <c r="AM23" s="59" t="s">
        <v>91</v>
      </c>
      <c r="AN23" s="59" t="s">
        <v>92</v>
      </c>
      <c r="AO23" s="54" t="s">
        <v>93</v>
      </c>
      <c r="AP23" s="54" t="s">
        <v>94</v>
      </c>
    </row>
    <row r="24" spans="1:48">
      <c r="B24" s="1" t="str">
        <f>IF(K24="","Hide","Show")</f>
        <v>Show</v>
      </c>
      <c r="C24" s="4" t="s">
        <v>48</v>
      </c>
      <c r="E24" s="13" t="str">
        <f>"""UICACS"","""",""SQL="",""2=DOCNUM"",""33039648"",""14=CUSTREF"",""2025101244"",""14=U_CUSTREF"",""2025101244"",""15=DOCDATE"",""31/7/2025"",""15=TAXDATE"",""31/7/2025"",""14=CARDCODE"",""CS0167-SGD"",""14=CARDNAME"",""ST LUKE'S HOSPITAL"",""14=ITEMCODE"",""MSEP2-27380GLP"",""14=ITEMNAME"",""MS"&amp;" OFFICE STANDARD 2024 SLNG LTSC"",""10=QUANTITY"",""23.000000"",""14=U_PONO"",""958581"",""15=U_PODATE"",""31/7/2025"",""10=U_TLINTCOS"",""0.000000"",""2=SLPCODE"",""101"",""14=SLPNAME"",""E0001-MM"",""14=MEMO"",""MELIZA MARQUEZ"",""14=CONTACTNAME"",""JULIETTE LIM"",""10=LINETOTAL"",""9911."&amp;"160000"",""14=U_ENR"","""",""14=U_MSENR"",""S7138270"",""14=U_MSPCN"",""B816AA67"",""14=ADDRESS2"",""KELVIN PHAY / JULIETTE LIM_x000D_ST LUKE's HOSPITAL 2 BUKIT BATOK STREET 11  SINGAPORE 659674_x000D_MR KELVIN PHAY / MS JULIETTE LIM_x000D_TEL: 6895 3207/6895 3430_x000D_FAX: _x000D_EMAIL: kelvinphay@"&amp;"stluke.org.sg/juliettelim@stluke.org.sg"""</f>
        <v>"UICACS","","SQL=","2=DOCNUM","33039648","14=CUSTREF","2025101244","14=U_CUSTREF","2025101244","15=DOCDATE","31/7/2025","15=TAXDATE","31/7/2025","14=CARDCODE","CS0167-SGD","14=CARDNAME","ST LUKE'S HOSPITAL","14=ITEMCODE","MSEP2-27380GLP","14=ITEMNAME","MS OFFICE STANDARD 2024 SLNG LTSC","10=QUANTITY","23.000000","14=U_PONO","958581","15=U_PODATE","31/7/2025","10=U_TLINTCOS","0.000000","2=SLPCODE","101","14=SLPNAME","E0001-MM","14=MEMO","MELIZA MARQUEZ","14=CONTACTNAME","JULIETTE LIM","10=LINETOTAL","9911.160000","14=U_ENR","","14=U_MSENR","S7138270","14=U_MSPCN","B816AA67","14=ADDRESS2","KELVIN PHAY / JULIETTE LIM_x000D_ST LUKE's HOSPITAL 2 BUKIT BATOK STREET 11  SINGAPORE 659674_x000D_MR KELVIN PHAY / MS JULIETTE LIM_x000D_TEL: 6895 3207/6895 3430_x000D_FAX: _x000D_EMAIL: kelvinphay@stluke.org.sg/juliettelim@stluke.org.sg"</v>
      </c>
      <c r="K24" s="3">
        <f>MONTH(N24)</f>
        <v>7</v>
      </c>
      <c r="L24" s="3">
        <f>YEAR(N24)</f>
        <v>2025</v>
      </c>
      <c r="M24" s="3">
        <v>33039648</v>
      </c>
      <c r="N24" s="63">
        <v>45869</v>
      </c>
      <c r="O24" s="3" t="str">
        <f>"S7138270"</f>
        <v>S7138270</v>
      </c>
      <c r="P24" s="3" t="str">
        <f>"B816AA67"</f>
        <v>B816AA67</v>
      </c>
      <c r="Q24" s="3"/>
      <c r="R24" s="3" t="str">
        <f>"CS0167-SGD"</f>
        <v>CS0167-SGD</v>
      </c>
      <c r="S24" s="3" t="str">
        <f>"ST LUKE'S HOSPITAL"</f>
        <v>ST LUKE'S HOSPITAL</v>
      </c>
      <c r="T24" s="3" t="str">
        <f>"2025101244"</f>
        <v>2025101244</v>
      </c>
      <c r="U24" s="64" t="str">
        <f>"958581"</f>
        <v>958581</v>
      </c>
      <c r="V24" s="64">
        <v>45869</v>
      </c>
      <c r="W24" s="64">
        <v>45869</v>
      </c>
      <c r="X24" s="65">
        <f>SUM(N24-V24)</f>
        <v>0</v>
      </c>
      <c r="Y24" s="66" t="str">
        <f>"MSEP2-27380GLP"</f>
        <v>MSEP2-27380GLP</v>
      </c>
      <c r="Z24" s="66" t="str">
        <f>"MS OFFICE STANDARD 2024 SLNG LTSC"</f>
        <v>MS OFFICE STANDARD 2024 SLNG LTSC</v>
      </c>
      <c r="AA24" s="66" t="str">
        <f>"MELIZA MARQUEZ"</f>
        <v>MELIZA MARQUEZ</v>
      </c>
      <c r="AB24" s="65">
        <v>23</v>
      </c>
      <c r="AC24" s="67">
        <f t="shared" ref="AC24:AC32" si="0">IFERROR(AD24/AB24,0)</f>
        <v>430.92</v>
      </c>
      <c r="AD24" s="67">
        <v>9911.16</v>
      </c>
      <c r="AE24" s="3" t="str">
        <f>"-"</f>
        <v>-</v>
      </c>
      <c r="AF24" s="76">
        <v>9911.16</v>
      </c>
      <c r="AG24" s="63" t="s">
        <v>96</v>
      </c>
      <c r="AH24" s="56" t="str">
        <f>"KELVIN PHAY / JULIETTE LIM_x000D_ST LUKE's HOSPITAL 2 BUKIT BATOK STREET 11  SINGAPORE 659674_x000D_MR KELVIN PHAY / MS JULIETTE LIM_x000D_TEL: 6895 3207/6895 3430_x000D_FAX: _x000D_EMAIL: kelvinphay@stluke.org.sg/juliettelim@stluke.org.sg"</f>
        <v>KELVIN PHAY / JULIETTE LIM_x000D_ST LUKE's HOSPITAL 2 BUKIT BATOK STREET 11  SINGAPORE 659674_x000D_MR KELVIN PHAY / MS JULIETTE LIM_x000D_TEL: 6895 3207/6895 3430_x000D_FAX: _x000D_EMAIL: kelvinphay@stluke.org.sg/juliettelim@stluke.org.sg</v>
      </c>
      <c r="AI24" s="67" t="s">
        <v>95</v>
      </c>
      <c r="AJ24" s="67" t="s">
        <v>97</v>
      </c>
      <c r="AK24" s="3" t="str">
        <f>"MSEP2-27380GLP"</f>
        <v>MSEP2-27380GLP</v>
      </c>
      <c r="AL24" s="3" t="str">
        <f>"MS OFFICE STANDARD 2024 SLNG LTSC"</f>
        <v>MS OFFICE STANDARD 2024 SLNG LTSC</v>
      </c>
      <c r="AM24" s="3" t="s">
        <v>205</v>
      </c>
      <c r="AN24" s="3" t="str">
        <f>"-"</f>
        <v>-</v>
      </c>
      <c r="AO24" s="3" t="str">
        <f>"-"</f>
        <v>-</v>
      </c>
    </row>
    <row r="25" spans="1:48" hidden="1">
      <c r="B25" s="1" t="str">
        <f>IF(K25="","Hide","Show")</f>
        <v>Hide</v>
      </c>
      <c r="C25" s="4" t="s">
        <v>49</v>
      </c>
      <c r="E25" s="13" t="str">
        <f>""</f>
        <v/>
      </c>
      <c r="K25" s="3" t="str">
        <f>""</f>
        <v/>
      </c>
      <c r="L25" s="63" t="str">
        <f>""</f>
        <v/>
      </c>
      <c r="M25" s="63"/>
      <c r="N25" s="63"/>
      <c r="O25" s="3" t="str">
        <f>""</f>
        <v/>
      </c>
      <c r="P25" s="3"/>
      <c r="Q25" s="3"/>
      <c r="R25" s="3" t="str">
        <f>""</f>
        <v/>
      </c>
      <c r="S25" s="3" t="str">
        <f>""</f>
        <v/>
      </c>
      <c r="T25" s="3" t="str">
        <f>""</f>
        <v/>
      </c>
      <c r="U25" s="3"/>
      <c r="V25" s="64" t="str">
        <f>""</f>
        <v/>
      </c>
      <c r="W25" s="69"/>
      <c r="X25" s="69"/>
      <c r="Y25" s="3" t="str">
        <f>""</f>
        <v/>
      </c>
      <c r="Z25" s="3" t="str">
        <f>""</f>
        <v/>
      </c>
      <c r="AA25" s="3" t="str">
        <f>""</f>
        <v/>
      </c>
      <c r="AB25" s="65" t="str">
        <f>""</f>
        <v/>
      </c>
      <c r="AC25" s="74">
        <f t="shared" si="0"/>
        <v>0</v>
      </c>
      <c r="AD25" s="67" t="str">
        <f>""</f>
        <v/>
      </c>
      <c r="AE25" s="3" t="str">
        <f>""</f>
        <v/>
      </c>
      <c r="AF25" s="77" t="str">
        <f>""</f>
        <v/>
      </c>
      <c r="AG25" s="63" t="str">
        <f>""</f>
        <v/>
      </c>
      <c r="AH25" s="3" t="str">
        <f>""</f>
        <v/>
      </c>
      <c r="AI25" s="67"/>
      <c r="AJ25" s="67"/>
      <c r="AK25" s="3"/>
      <c r="AL25" s="3"/>
      <c r="AM25" s="3"/>
      <c r="AN25" s="3"/>
      <c r="AO25" s="3"/>
      <c r="AP25" s="3"/>
    </row>
    <row r="26" spans="1:48" hidden="1">
      <c r="B26" s="1" t="str">
        <f>IF(K26="","Hide","Show")</f>
        <v>Hide</v>
      </c>
      <c r="C26" s="4" t="s">
        <v>50</v>
      </c>
      <c r="E26" s="13" t="str">
        <f>""</f>
        <v/>
      </c>
      <c r="K26" s="3" t="str">
        <f>""</f>
        <v/>
      </c>
      <c r="L26" s="63" t="str">
        <f>""</f>
        <v/>
      </c>
      <c r="M26" s="63"/>
      <c r="N26" s="63"/>
      <c r="O26" s="3" t="str">
        <f>""</f>
        <v/>
      </c>
      <c r="P26" s="3"/>
      <c r="Q26" s="3"/>
      <c r="R26" s="3" t="str">
        <f>""</f>
        <v/>
      </c>
      <c r="S26" s="3" t="str">
        <f>""</f>
        <v/>
      </c>
      <c r="T26" s="3" t="str">
        <f>""</f>
        <v/>
      </c>
      <c r="U26" s="3"/>
      <c r="V26" s="64" t="str">
        <f>""</f>
        <v/>
      </c>
      <c r="W26" s="69"/>
      <c r="X26" s="69"/>
      <c r="Y26" s="3" t="str">
        <f>""</f>
        <v/>
      </c>
      <c r="Z26" s="3" t="str">
        <f>""</f>
        <v/>
      </c>
      <c r="AA26" s="3" t="str">
        <f>""</f>
        <v/>
      </c>
      <c r="AB26" s="65" t="str">
        <f>""</f>
        <v/>
      </c>
      <c r="AC26" s="74">
        <f t="shared" si="0"/>
        <v>0</v>
      </c>
      <c r="AD26" s="67" t="str">
        <f>""</f>
        <v/>
      </c>
      <c r="AE26" s="3" t="str">
        <f>""</f>
        <v/>
      </c>
      <c r="AF26" s="77" t="str">
        <f>""</f>
        <v/>
      </c>
      <c r="AG26" s="63" t="str">
        <f>""</f>
        <v/>
      </c>
      <c r="AH26" s="3" t="str">
        <f>""</f>
        <v/>
      </c>
      <c r="AI26" s="67"/>
      <c r="AJ26" s="67"/>
      <c r="AK26" s="3"/>
      <c r="AL26" s="3"/>
      <c r="AM26" s="3"/>
      <c r="AN26" s="3"/>
      <c r="AO26" s="3"/>
      <c r="AP26" s="3"/>
    </row>
    <row r="27" spans="1:48">
      <c r="A27" s="1" t="s">
        <v>206</v>
      </c>
      <c r="B27" s="1" t="str">
        <f t="shared" ref="B27:B32" si="1">IF(K27="","Hide","Show")</f>
        <v>Show</v>
      </c>
      <c r="C27" s="4" t="s">
        <v>48</v>
      </c>
      <c r="E27" s="13" t="str">
        <f>"""UICACS"","""",""SQL="",""2=DOCNUM"",""33039537"",""14=CUSTREF"",""7452007108"",""14=U_CUSTREF"",""7452007108"",""15=DOCDATE"",""28/7/2025"",""15=TAXDATE"",""28/7/2025"",""14=CARDCODE"",""CN0245-SGD"",""14=CARDNAME"",""NATIONAL UNIVERSITY HEALTH SYSTEM PTE. LTD."",""14=ITEMCODE"",""MS7JQ-00"&amp;"353GLP"",""14=ITEMNAME"",""MS SQL SERVER ENTERPRISE CORE SLNG LSA 2L"",""10=QUANTITY"",""2.000000"",""14=U_PONO"",""ESU958455"",""15=U_PODATE"",""23/7/2025"",""10=U_TLINTCOS"",""0.000000"",""2=SLPCODE"",""101"",""14=SLPNAME"",""E0001-MM"",""14=MEMO"",""MELIZA MARQUEZ"",""14=CONTACTNAME"","""&amp;"E-INVOICE(AP DIRECT)"",""10=LINETOTAL"",""42708.580000"",""14=U_ENR"","""",""14=U_MSENR"",""S7138270"",""14=U_MSPCN"",""AB57EDFE"",""14=ADDRESS2"",""AIO-INNOVATION OFFICE_x000D_NATIONAL UNIVERSITY HEALTH SYSTEM PTE LTD Tower Block, 1E KENT RIDGE ROAD  SINGAPORE 119228_x000D_Jennis Kua_x000D_T"&amp;"EL: 91382743_x000D_FAX: _x000D_EMAIL: jennis_kua@nuhs.edu.sg"""</f>
        <v>"UICACS","","SQL=","2=DOCNUM","33039537","14=CUSTREF","7452007108","14=U_CUSTREF","7452007108","15=DOCDATE","28/7/2025","15=TAXDATE","28/7/2025","14=CARDCODE","CN0245-SGD","14=CARDNAME","NATIONAL UNIVERSITY HEALTH SYSTEM PTE. LTD.","14=ITEMCODE","MS7JQ-00353GLP","14=ITEMNAME","MS SQL SERVER ENTERPRISE CORE SLNG LSA 2L","10=QUANTITY","2.000000","14=U_PONO","ESU958455","15=U_PODATE","23/7/2025","10=U_TLINTCOS","0.000000","2=SLPCODE","101","14=SLPNAME","E0001-MM","14=MEMO","MELIZA MARQUEZ","14=CONTACTNAME","E-INVOICE(AP DIRECT)","10=LINETOTAL","42708.580000","14=U_ENR","","14=U_MSENR","S7138270","14=U_MSPCN","AB57EDFE","14=ADDRESS2","AIO-INNOVATION OFFICE_x000D_NATIONAL UNIVERSITY HEALTH SYSTEM PTE LTD Tower Block, 1E KENT RIDGE ROAD  SINGAPORE 119228_x000D_Jennis Kua_x000D_TEL: 91382743_x000D_FAX: _x000D_EMAIL: jennis_kua@nuhs.edu.sg"</v>
      </c>
      <c r="K27" s="3">
        <f t="shared" ref="K27:K32" si="2">MONTH(N27)</f>
        <v>7</v>
      </c>
      <c r="L27" s="3">
        <f t="shared" ref="L27:L32" si="3">YEAR(N27)</f>
        <v>2025</v>
      </c>
      <c r="M27" s="3">
        <v>33039537</v>
      </c>
      <c r="N27" s="63">
        <v>45866</v>
      </c>
      <c r="O27" s="3" t="str">
        <f t="shared" ref="O27:O32" si="4">"S7138270"</f>
        <v>S7138270</v>
      </c>
      <c r="P27" s="3" t="str">
        <f t="shared" ref="P27:P32" si="5">"AB57EDFE"</f>
        <v>AB57EDFE</v>
      </c>
      <c r="Q27" s="3" t="s">
        <v>95</v>
      </c>
      <c r="R27" s="3" t="str">
        <f t="shared" ref="R27:R32" si="6">"CN0245-SGD"</f>
        <v>CN0245-SGD</v>
      </c>
      <c r="S27" s="3" t="str">
        <f>"NATIONAL UNIVERSITY HEALTH SYSTEM PTE. LTD."</f>
        <v>NATIONAL UNIVERSITY HEALTH SYSTEM PTE. LTD.</v>
      </c>
      <c r="T27" s="3" t="str">
        <f>"7452007108"</f>
        <v>7452007108</v>
      </c>
      <c r="U27" s="3" t="str">
        <f>"958455"</f>
        <v>958455</v>
      </c>
      <c r="V27" s="64">
        <v>45861</v>
      </c>
      <c r="W27" s="64">
        <v>45866</v>
      </c>
      <c r="X27" s="65">
        <f t="shared" ref="X27:X32" si="7">SUM(N27-V27)</f>
        <v>5</v>
      </c>
      <c r="Y27" s="65" t="str">
        <f>"MS7JQ-00353GLP"</f>
        <v>MS7JQ-00353GLP</v>
      </c>
      <c r="Z27" s="3" t="str">
        <f>"MS SQL SERVER ENTERPRISE CORE SLNG LSA 2L"</f>
        <v>MS SQL SERVER ENTERPRISE CORE SLNG LSA 2L</v>
      </c>
      <c r="AA27" s="3" t="str">
        <f t="shared" ref="AA27:AA32" si="8">"MELIZA MARQUEZ"</f>
        <v>MELIZA MARQUEZ</v>
      </c>
      <c r="AB27" s="66">
        <v>2</v>
      </c>
      <c r="AC27" s="75">
        <f t="shared" si="0"/>
        <v>21354.29</v>
      </c>
      <c r="AD27" s="67">
        <v>42708.58</v>
      </c>
      <c r="AE27" s="67" t="str">
        <f t="shared" ref="AE27:AE32" si="9">"-"</f>
        <v>-</v>
      </c>
      <c r="AF27" s="78">
        <v>42708.58</v>
      </c>
      <c r="AG27" s="68" t="s">
        <v>96</v>
      </c>
      <c r="AH27" s="70" t="str">
        <f t="shared" ref="AH27:AH32" si="10">"AIO-INNOVATION OFFICE_x000D_NATIONAL UNIVERSITY HEALTH SYSTEM PTE LTD Tower Block, 1E KENT RIDGE ROAD  SINGAPORE 119228_x000D_Jennis Kua_x000D_TEL: 91382743_x000D_FAX: _x000D_EMAIL: jennis_kua@nuhs.edu.sg"</f>
        <v>AIO-INNOVATION OFFICE_x000D_NATIONAL UNIVERSITY HEALTH SYSTEM PTE LTD Tower Block, 1E KENT RIDGE ROAD  SINGAPORE 119228_x000D_Jennis Kua_x000D_TEL: 91382743_x000D_FAX: _x000D_EMAIL: jennis_kua@nuhs.edu.sg</v>
      </c>
      <c r="AI27" s="71" t="s">
        <v>95</v>
      </c>
      <c r="AJ27" s="63" t="s">
        <v>97</v>
      </c>
      <c r="AK27" s="3" t="str">
        <f>"MS7JQ-00353GLP"</f>
        <v>MS7JQ-00353GLP</v>
      </c>
      <c r="AL27" s="3" t="str">
        <f>"MS SQL SERVER ENTERPRISE CORE '[SALES OUT- MM- 01 July to 29July25 (002).xlsm]Data'!$P$4292L"</f>
        <v>MS SQL SERVER ENTERPRISE CORE '[SALES OUT- MM- 01 July to 29July25 (002).xlsm]Data'!$P$4292L</v>
      </c>
      <c r="AM27" s="3" t="s">
        <v>207</v>
      </c>
      <c r="AN27" s="72">
        <v>45870</v>
      </c>
      <c r="AO27" s="72">
        <v>46691</v>
      </c>
      <c r="AP27" s="3"/>
      <c r="AQ27" s="3"/>
      <c r="AR27" s="22"/>
      <c r="AV27" s="3"/>
    </row>
    <row r="28" spans="1:48">
      <c r="A28" s="1" t="s">
        <v>206</v>
      </c>
      <c r="B28" s="1" t="str">
        <f t="shared" si="1"/>
        <v>Show</v>
      </c>
      <c r="C28" s="4" t="s">
        <v>48</v>
      </c>
      <c r="E28" s="13" t="str">
        <f>"""UICACS"","""",""SQL="",""2=DOCNUM"",""33039537"",""14=CUSTREF"",""7452007108"",""14=U_CUSTREF"",""7452007108"",""15=DOCDATE"",""28/7/2025"",""15=TAXDATE"",""28/7/2025"",""14=CARDCODE"",""CN0245-SGD"",""14=CARDNAME"",""NATIONAL UNIVERSITY HEALTH SYSTEM PTE. LTD."",""14=ITEMCODE"",""MS6VC-01"&amp;"287GLP"",""14=ITEMNAME"",""MS WIN REMOTE DESKTOP SERVICES CAL SLNG LSA DCAL"",""10=QUANTITY"",""10.000000"",""14=U_PONO"",""ESU958455"",""15=U_PODATE"",""23/7/2025"",""10=U_TLINTCOS"",""0.000000"",""2=SLPCODE"",""101"",""14=SLPNAME"",""E0001-MM"",""14=MEMO"",""MELIZA MARQUEZ"",""14=CONTAC"&amp;"TNAME"",""E-INVOICE(AP DIRECT)"",""10=LINETOTAL"",""2476.800000"",""14=U_ENR"","""",""14=U_MSENR"",""S7138270"",""14=U_MSPCN"",""AB57EDFE"",""14=ADDRESS2"",""AIO-INNOVATION OFFICE_x000D_NATIONAL UNIVERSITY HEALTH SYSTEM PTE LTD Tower Block, 1E KENT RIDGE ROAD  SINGAPORE 119228_x000D_Jenni"&amp;"s Kua_x000D_TEL: 91382743_x000D_FAX: _x000D_EMAIL: jennis_kua@nuhs.edu.sg"""</f>
        <v>"UICACS","","SQL=","2=DOCNUM","33039537","14=CUSTREF","7452007108","14=U_CUSTREF","7452007108","15=DOCDATE","28/7/2025","15=TAXDATE","28/7/2025","14=CARDCODE","CN0245-SGD","14=CARDNAME","NATIONAL UNIVERSITY HEALTH SYSTEM PTE. LTD.","14=ITEMCODE","MS6VC-01287GLP","14=ITEMNAME","MS WIN REMOTE DESKTOP SERVICES CAL SLNG LSA DCAL","10=QUANTITY","10.000000","14=U_PONO","ESU958455","15=U_PODATE","23/7/2025","10=U_TLINTCOS","0.000000","2=SLPCODE","101","14=SLPNAME","E0001-MM","14=MEMO","MELIZA MARQUEZ","14=CONTACTNAME","E-INVOICE(AP DIRECT)","10=LINETOTAL","2476.800000","14=U_ENR","","14=U_MSENR","S7138270","14=U_MSPCN","AB57EDFE","14=ADDRESS2","AIO-INNOVATION OFFICE_x000D_NATIONAL UNIVERSITY HEALTH SYSTEM PTE LTD Tower Block, 1E KENT RIDGE ROAD  SINGAPORE 119228_x000D_Jennis Kua_x000D_TEL: 91382743_x000D_FAX: _x000D_EMAIL: jennis_kua@nuhs.edu.sg"</v>
      </c>
      <c r="K28" s="3">
        <f t="shared" si="2"/>
        <v>7</v>
      </c>
      <c r="L28" s="3">
        <f t="shared" si="3"/>
        <v>2025</v>
      </c>
      <c r="M28" s="3">
        <v>33039537</v>
      </c>
      <c r="N28" s="63">
        <v>45866</v>
      </c>
      <c r="O28" s="3" t="str">
        <f t="shared" si="4"/>
        <v>S7138270</v>
      </c>
      <c r="P28" s="3" t="str">
        <f t="shared" si="5"/>
        <v>AB57EDFE</v>
      </c>
      <c r="Q28" s="3" t="s">
        <v>95</v>
      </c>
      <c r="R28" s="3" t="str">
        <f t="shared" si="6"/>
        <v>CN0245-SGD</v>
      </c>
      <c r="S28" s="3" t="str">
        <f t="shared" ref="S28:S32" si="11">"NATIONAL UNIVERSITY HEALTH SYSTEM PTE. LTD."</f>
        <v>NATIONAL UNIVERSITY HEALTH SYSTEM PTE. LTD.</v>
      </c>
      <c r="T28" s="3" t="str">
        <f>"7452007108"</f>
        <v>7452007108</v>
      </c>
      <c r="U28" s="3" t="str">
        <f>"958455"</f>
        <v>958455</v>
      </c>
      <c r="V28" s="64">
        <v>45861</v>
      </c>
      <c r="W28" s="64">
        <v>45866</v>
      </c>
      <c r="X28" s="65">
        <f t="shared" si="7"/>
        <v>5</v>
      </c>
      <c r="Y28" s="65" t="str">
        <f>"MS6VC-01287GLP"</f>
        <v>MS6VC-01287GLP</v>
      </c>
      <c r="Z28" s="3" t="str">
        <f>"MS WIN REMOTE DESKTOP SERVICES CAL SLNG LSA DCAL"</f>
        <v>MS WIN REMOTE DESKTOP SERVICES CAL SLNG LSA DCAL</v>
      </c>
      <c r="AA28" s="3" t="str">
        <f t="shared" si="8"/>
        <v>MELIZA MARQUEZ</v>
      </c>
      <c r="AB28" s="66">
        <v>10</v>
      </c>
      <c r="AC28" s="75">
        <f t="shared" si="0"/>
        <v>247.68</v>
      </c>
      <c r="AD28" s="67">
        <v>2476.8000000000002</v>
      </c>
      <c r="AE28" s="67" t="str">
        <f t="shared" si="9"/>
        <v>-</v>
      </c>
      <c r="AF28" s="78">
        <v>2476.8000000000002</v>
      </c>
      <c r="AG28" s="68" t="s">
        <v>96</v>
      </c>
      <c r="AH28" s="70" t="str">
        <f t="shared" si="10"/>
        <v>AIO-INNOVATION OFFICE_x000D_NATIONAL UNIVERSITY HEALTH SYSTEM PTE LTD Tower Block, 1E KENT RIDGE ROAD  SINGAPORE 119228_x000D_Jennis Kua_x000D_TEL: 91382743_x000D_FAX: _x000D_EMAIL: jennis_kua@nuhs.edu.sg</v>
      </c>
      <c r="AI28" s="71" t="s">
        <v>95</v>
      </c>
      <c r="AJ28" s="63" t="s">
        <v>97</v>
      </c>
      <c r="AK28" s="3" t="str">
        <f>"MS6VC-01287GLP"</f>
        <v>MS6VC-01287GLP</v>
      </c>
      <c r="AL28" s="3" t="str">
        <f>"MS WIN REMOTE DESKTOP SERVICES CAL SLNG LSA DCAL"</f>
        <v>MS WIN REMOTE DESKTOP SERVICES CAL SLNG LSA DCAL</v>
      </c>
      <c r="AM28" s="3" t="s">
        <v>207</v>
      </c>
      <c r="AN28" s="72">
        <v>45870</v>
      </c>
      <c r="AO28" s="72">
        <v>46691</v>
      </c>
      <c r="AP28" s="3"/>
      <c r="AQ28" s="3"/>
      <c r="AR28" s="22"/>
    </row>
    <row r="29" spans="1:48">
      <c r="A29" s="1" t="s">
        <v>206</v>
      </c>
      <c r="B29" s="1" t="str">
        <f t="shared" si="1"/>
        <v>Show</v>
      </c>
      <c r="C29" s="4" t="s">
        <v>48</v>
      </c>
      <c r="E29" s="13" t="str">
        <f>"""UICACS"","""",""SQL="",""2=DOCNUM"",""33039537"",""14=CUSTREF"",""7452007108"",""14=U_CUSTREF"",""7452007108"",""15=DOCDATE"",""28/7/2025"",""15=TAXDATE"",""28/7/2025"",""14=CARDCODE"",""CN0245-SGD"",""14=CARDNAME"",""NATIONAL UNIVERSITY HEALTH SYSTEM PTE. LTD."",""14=ITEMCODE"",""MS9EM-00"&amp;"259GLP"",""14=ITEMNAME"",""MS WIN SERVER STANDARD CORE SLNG LSA 16L"",""10=QUANTITY"",""5.000000"",""14=U_PONO"",""ESU958455"",""15=U_PODATE"",""23/7/2025"",""10=U_TLINTCOS"",""0.000000"",""2=SLPCODE"",""101"",""14=SLPNAME"",""E0001-MM"",""14=MEMO"",""MELIZA MARQUEZ"",""14=CONTACTNAME"",""E"&amp;"-INVOICE(AP DIRECT)"",""10=LINETOTAL"",""8297.700000"",""14=U_ENR"","""",""14=U_MSENR"",""S7138270"",""14=U_MSPCN"",""AB57EDFE"",""14=ADDRESS2"",""AIO-INNOVATION OFFICE_x000D_NATIONAL UNIVERSITY HEALTH SYSTEM PTE LTD Tower Block, 1E KENT RIDGE ROAD  SINGAPORE 119228_x000D_Jennis Kua_x000D_TEL"&amp;": 91382743_x000D_FAX: _x000D_EMAIL: jennis_kua@nuhs.edu.sg"""</f>
        <v>"UICACS","","SQL=","2=DOCNUM","33039537","14=CUSTREF","7452007108","14=U_CUSTREF","7452007108","15=DOCDATE","28/7/2025","15=TAXDATE","28/7/2025","14=CARDCODE","CN0245-SGD","14=CARDNAME","NATIONAL UNIVERSITY HEALTH SYSTEM PTE. LTD.","14=ITEMCODE","MS9EM-00259GLP","14=ITEMNAME","MS WIN SERVER STANDARD CORE SLNG LSA 16L","10=QUANTITY","5.000000","14=U_PONO","ESU958455","15=U_PODATE","23/7/2025","10=U_TLINTCOS","0.000000","2=SLPCODE","101","14=SLPNAME","E0001-MM","14=MEMO","MELIZA MARQUEZ","14=CONTACTNAME","E-INVOICE(AP DIRECT)","10=LINETOTAL","8297.700000","14=U_ENR","","14=U_MSENR","S7138270","14=U_MSPCN","AB57EDFE","14=ADDRESS2","AIO-INNOVATION OFFICE_x000D_NATIONAL UNIVERSITY HEALTH SYSTEM PTE LTD Tower Block, 1E KENT RIDGE ROAD  SINGAPORE 119228_x000D_Jennis Kua_x000D_TEL: 91382743_x000D_FAX: _x000D_EMAIL: jennis_kua@nuhs.edu.sg"</v>
      </c>
      <c r="K29" s="3">
        <f t="shared" si="2"/>
        <v>7</v>
      </c>
      <c r="L29" s="3">
        <f t="shared" si="3"/>
        <v>2025</v>
      </c>
      <c r="M29" s="3">
        <v>33039537</v>
      </c>
      <c r="N29" s="63">
        <v>45866</v>
      </c>
      <c r="O29" s="3" t="str">
        <f t="shared" si="4"/>
        <v>S7138270</v>
      </c>
      <c r="P29" s="3" t="str">
        <f t="shared" si="5"/>
        <v>AB57EDFE</v>
      </c>
      <c r="Q29" s="3" t="s">
        <v>95</v>
      </c>
      <c r="R29" s="3" t="str">
        <f t="shared" si="6"/>
        <v>CN0245-SGD</v>
      </c>
      <c r="S29" s="3" t="str">
        <f t="shared" si="11"/>
        <v>NATIONAL UNIVERSITY HEALTH SYSTEM PTE. LTD.</v>
      </c>
      <c r="T29" s="3" t="str">
        <f>"7452007108"</f>
        <v>7452007108</v>
      </c>
      <c r="U29" s="3" t="str">
        <f>"958455"</f>
        <v>958455</v>
      </c>
      <c r="V29" s="64">
        <v>45861</v>
      </c>
      <c r="W29" s="64">
        <v>45866</v>
      </c>
      <c r="X29" s="65">
        <f t="shared" si="7"/>
        <v>5</v>
      </c>
      <c r="Y29" s="65" t="str">
        <f>"MS9EM-00259GLP"</f>
        <v>MS9EM-00259GLP</v>
      </c>
      <c r="Z29" s="3" t="str">
        <f>"MS WIN SERVER STANDARD CORE SLNG LSA 16L"</f>
        <v>MS WIN SERVER STANDARD CORE SLNG LSA 16L</v>
      </c>
      <c r="AA29" s="3" t="str">
        <f t="shared" si="8"/>
        <v>MELIZA MARQUEZ</v>
      </c>
      <c r="AB29" s="66">
        <v>5</v>
      </c>
      <c r="AC29" s="75">
        <f t="shared" si="0"/>
        <v>1659.5400000000002</v>
      </c>
      <c r="AD29" s="67">
        <v>8297.7000000000007</v>
      </c>
      <c r="AE29" s="67" t="str">
        <f t="shared" si="9"/>
        <v>-</v>
      </c>
      <c r="AF29" s="78">
        <v>8297.7000000000007</v>
      </c>
      <c r="AG29" s="68" t="s">
        <v>96</v>
      </c>
      <c r="AH29" s="70" t="str">
        <f t="shared" si="10"/>
        <v>AIO-INNOVATION OFFICE_x000D_NATIONAL UNIVERSITY HEALTH SYSTEM PTE LTD Tower Block, 1E KENT RIDGE ROAD  SINGAPORE 119228_x000D_Jennis Kua_x000D_TEL: 91382743_x000D_FAX: _x000D_EMAIL: jennis_kua@nuhs.edu.sg</v>
      </c>
      <c r="AI29" s="71" t="s">
        <v>95</v>
      </c>
      <c r="AJ29" s="63" t="s">
        <v>97</v>
      </c>
      <c r="AK29" s="3" t="str">
        <f>"MS9EM-00259GLP"</f>
        <v>MS9EM-00259GLP</v>
      </c>
      <c r="AL29" s="3" t="str">
        <f>"MS WIN SERVER STANDARD CORE SLNG LSA 16L"</f>
        <v>MS WIN SERVER STANDARD CORE SLNG LSA 16L</v>
      </c>
      <c r="AM29" s="3" t="s">
        <v>207</v>
      </c>
      <c r="AN29" s="72">
        <v>45870</v>
      </c>
      <c r="AO29" s="72">
        <v>46691</v>
      </c>
      <c r="AP29" s="3"/>
      <c r="AQ29" s="3"/>
      <c r="AR29" s="22"/>
    </row>
    <row r="30" spans="1:48">
      <c r="A30" s="1" t="s">
        <v>206</v>
      </c>
      <c r="B30" s="1" t="str">
        <f t="shared" si="1"/>
        <v>Show</v>
      </c>
      <c r="C30" s="4" t="s">
        <v>48</v>
      </c>
      <c r="E30" s="13" t="str">
        <f>"""UICACS"","""",""SQL="",""2=DOCNUM"",""33039538"",""14=CUSTREF"",""7452007126"",""14=U_CUSTREF"",""7452007126"",""15=DOCDATE"",""28/7/2025"",""15=TAXDATE"",""28/7/2025"",""14=CARDCODE"",""CN0245-SGD"",""14=CARDNAME"",""NATIONAL UNIVERSITY HEALTH SYSTEM PTE. LTD."",""14=ITEMCODE"",""MS7NQ-00"&amp;"300GLP"",""14=ITEMNAME"",""MS SQL SERVER STANDARD CORE SLNG LSA 2L"",""10=QUANTITY"",""2.000000"",""14=U_PONO"",""ESU958455A"",""15=U_PODATE"",""23/7/2025"",""10=U_TLINTCOS"",""0.000000"",""2=SLPCODE"",""101"",""14=SLPNAME"",""E0001-MM"",""14=MEMO"",""MELIZA MARQUEZ"",""14=CONTACTNAME"",""E"&amp;"-INVOICE(AP DIRECT)"",""10=LINETOTAL"",""11238.240000"",""14=U_ENR"","""",""14=U_MSENR"",""S7138270"",""14=U_MSPCN"",""AB57EDFE"",""14=ADDRESS2"",""AIO-INNOVATION OFFICE_x000D_NATIONAL UNIVERSITY HEALTH SYSTEM PTE LTD Tower Block, 1E KENT RIDGE ROAD  SINGAPORE 119228_x000D_Jennis Kua_x000D_TE"&amp;"L: 91382743_x000D_FAX: _x000D_EMAIL: jennis_kua@nuhs.edu.sg"""</f>
        <v>"UICACS","","SQL=","2=DOCNUM","33039538","14=CUSTREF","7452007126","14=U_CUSTREF","7452007126","15=DOCDATE","28/7/2025","15=TAXDATE","28/7/2025","14=CARDCODE","CN0245-SGD","14=CARDNAME","NATIONAL UNIVERSITY HEALTH SYSTEM PTE. LTD.","14=ITEMCODE","MS7NQ-00300GLP","14=ITEMNAME","MS SQL SERVER STANDARD CORE SLNG LSA 2L","10=QUANTITY","2.000000","14=U_PONO","ESU958455A","15=U_PODATE","23/7/2025","10=U_TLINTCOS","0.000000","2=SLPCODE","101","14=SLPNAME","E0001-MM","14=MEMO","MELIZA MARQUEZ","14=CONTACTNAME","E-INVOICE(AP DIRECT)","10=LINETOTAL","11238.240000","14=U_ENR","","14=U_MSENR","S7138270","14=U_MSPCN","AB57EDFE","14=ADDRESS2","AIO-INNOVATION OFFICE_x000D_NATIONAL UNIVERSITY HEALTH SYSTEM PTE LTD Tower Block, 1E KENT RIDGE ROAD  SINGAPORE 119228_x000D_Jennis Kua_x000D_TEL: 91382743_x000D_FAX: _x000D_EMAIL: jennis_kua@nuhs.edu.sg"</v>
      </c>
      <c r="K30" s="3">
        <f t="shared" si="2"/>
        <v>7</v>
      </c>
      <c r="L30" s="3">
        <f t="shared" si="3"/>
        <v>2025</v>
      </c>
      <c r="M30" s="3">
        <v>33039538</v>
      </c>
      <c r="N30" s="63">
        <v>45866</v>
      </c>
      <c r="O30" s="3" t="str">
        <f t="shared" si="4"/>
        <v>S7138270</v>
      </c>
      <c r="P30" s="3" t="str">
        <f t="shared" si="5"/>
        <v>AB57EDFE</v>
      </c>
      <c r="Q30" s="3" t="s">
        <v>95</v>
      </c>
      <c r="R30" s="3" t="str">
        <f t="shared" si="6"/>
        <v>CN0245-SGD</v>
      </c>
      <c r="S30" s="3" t="str">
        <f t="shared" si="11"/>
        <v>NATIONAL UNIVERSITY HEALTH SYSTEM PTE. LTD.</v>
      </c>
      <c r="T30" s="3" t="str">
        <f>"7452007126"</f>
        <v>7452007126</v>
      </c>
      <c r="U30" s="3" t="str">
        <f>"958455A"</f>
        <v>958455A</v>
      </c>
      <c r="V30" s="64">
        <v>45861</v>
      </c>
      <c r="W30" s="64">
        <v>45866</v>
      </c>
      <c r="X30" s="65">
        <f t="shared" si="7"/>
        <v>5</v>
      </c>
      <c r="Y30" s="65" t="str">
        <f>"MS7NQ-00300GLP"</f>
        <v>MS7NQ-00300GLP</v>
      </c>
      <c r="Z30" s="3" t="str">
        <f>"MS SQL SERVER STANDARD CORE SLNG LSA 2L"</f>
        <v>MS SQL SERVER STANDARD CORE SLNG LSA 2L</v>
      </c>
      <c r="AA30" s="3" t="str">
        <f t="shared" si="8"/>
        <v>MELIZA MARQUEZ</v>
      </c>
      <c r="AB30" s="66">
        <v>2</v>
      </c>
      <c r="AC30" s="75">
        <f t="shared" si="0"/>
        <v>5619.12</v>
      </c>
      <c r="AD30" s="67">
        <v>11238.24</v>
      </c>
      <c r="AE30" s="67" t="str">
        <f t="shared" si="9"/>
        <v>-</v>
      </c>
      <c r="AF30" s="78">
        <v>11238.24</v>
      </c>
      <c r="AG30" s="68" t="s">
        <v>96</v>
      </c>
      <c r="AH30" s="70" t="str">
        <f t="shared" si="10"/>
        <v>AIO-INNOVATION OFFICE_x000D_NATIONAL UNIVERSITY HEALTH SYSTEM PTE LTD Tower Block, 1E KENT RIDGE ROAD  SINGAPORE 119228_x000D_Jennis Kua_x000D_TEL: 91382743_x000D_FAX: _x000D_EMAIL: jennis_kua@nuhs.edu.sg</v>
      </c>
      <c r="AI30" s="71" t="s">
        <v>95</v>
      </c>
      <c r="AJ30" s="63" t="s">
        <v>97</v>
      </c>
      <c r="AK30" s="3" t="str">
        <f>"MS7NQ-00300GLP"</f>
        <v>MS7NQ-00300GLP</v>
      </c>
      <c r="AL30" s="3" t="str">
        <f>"MS SQL SERVER STANDARD CORE SLNG LSA 2L"</f>
        <v>MS SQL SERVER STANDARD CORE SLNG LSA 2L</v>
      </c>
      <c r="AM30" s="3" t="s">
        <v>207</v>
      </c>
      <c r="AN30" s="72">
        <v>45870</v>
      </c>
      <c r="AO30" s="72">
        <v>46691</v>
      </c>
      <c r="AP30" s="3"/>
      <c r="AQ30" s="3"/>
      <c r="AR30" s="22"/>
    </row>
    <row r="31" spans="1:48">
      <c r="A31" s="1" t="s">
        <v>206</v>
      </c>
      <c r="B31" s="1" t="str">
        <f t="shared" si="1"/>
        <v>Show</v>
      </c>
      <c r="C31" s="4" t="s">
        <v>48</v>
      </c>
      <c r="E31" s="13" t="str">
        <f>"""UICACS"","""",""SQL="",""2=DOCNUM"",""33039538"",""14=CUSTREF"",""7452007126"",""14=U_CUSTREF"",""7452007126"",""15=DOCDATE"",""28/7/2025"",""15=TAXDATE"",""28/7/2025"",""14=CARDCODE"",""CN0245-SGD"",""14=CARDNAME"",""NATIONAL UNIVERSITY HEALTH SYSTEM PTE. LTD."",""14=ITEMCODE"",""MS6VC-01"&amp;"287GLP"",""14=ITEMNAME"",""MS WIN REMOTE DESKTOP SERVICES CAL SLNG LSA DCAL"",""10=QUANTITY"",""10.000000"",""14=U_PONO"",""ESU958455A"",""15=U_PODATE"",""23/7/2025"",""10=U_TLINTCOS"",""0.000000"",""2=SLPCODE"",""101"",""14=SLPNAME"",""E0001-MM"",""14=MEMO"",""MELIZA MARQUEZ"",""14=CONTA"&amp;"CTNAME"",""E-INVOICE(AP DIRECT)"",""10=LINETOTAL"",""2501.900000"",""14=U_ENR"","""",""14=U_MSENR"",""S7138270"",""14=U_MSPCN"",""AB57EDFE"",""14=ADDRESS2"",""AIO-INNOVATION OFFICE_x000D_NATIONAL UNIVERSITY HEALTH SYSTEM PTE LTD Tower Block, 1E KENT RIDGE ROAD  SINGAPORE 119228_x000D_Jenn"&amp;"is Kua_x000D_TEL: 91382743_x000D_FAX: _x000D_EMAIL: jennis_kua@nuhs.edu.sg"""</f>
        <v>"UICACS","","SQL=","2=DOCNUM","33039538","14=CUSTREF","7452007126","14=U_CUSTREF","7452007126","15=DOCDATE","28/7/2025","15=TAXDATE","28/7/2025","14=CARDCODE","CN0245-SGD","14=CARDNAME","NATIONAL UNIVERSITY HEALTH SYSTEM PTE. LTD.","14=ITEMCODE","MS6VC-01287GLP","14=ITEMNAME","MS WIN REMOTE DESKTOP SERVICES CAL SLNG LSA DCAL","10=QUANTITY","10.000000","14=U_PONO","ESU958455A","15=U_PODATE","23/7/2025","10=U_TLINTCOS","0.000000","2=SLPCODE","101","14=SLPNAME","E0001-MM","14=MEMO","MELIZA MARQUEZ","14=CONTACTNAME","E-INVOICE(AP DIRECT)","10=LINETOTAL","2501.900000","14=U_ENR","","14=U_MSENR","S7138270","14=U_MSPCN","AB57EDFE","14=ADDRESS2","AIO-INNOVATION OFFICE_x000D_NATIONAL UNIVERSITY HEALTH SYSTEM PTE LTD Tower Block, 1E KENT RIDGE ROAD  SINGAPORE 119228_x000D_Jennis Kua_x000D_TEL: 91382743_x000D_FAX: _x000D_EMAIL: jennis_kua@nuhs.edu.sg"</v>
      </c>
      <c r="K31" s="3">
        <f t="shared" si="2"/>
        <v>7</v>
      </c>
      <c r="L31" s="3">
        <f t="shared" si="3"/>
        <v>2025</v>
      </c>
      <c r="M31" s="3">
        <v>33039538</v>
      </c>
      <c r="N31" s="63">
        <v>45866</v>
      </c>
      <c r="O31" s="3" t="str">
        <f t="shared" si="4"/>
        <v>S7138270</v>
      </c>
      <c r="P31" s="3" t="str">
        <f t="shared" si="5"/>
        <v>AB57EDFE</v>
      </c>
      <c r="Q31" s="3" t="s">
        <v>95</v>
      </c>
      <c r="R31" s="3" t="str">
        <f t="shared" si="6"/>
        <v>CN0245-SGD</v>
      </c>
      <c r="S31" s="3" t="str">
        <f t="shared" si="11"/>
        <v>NATIONAL UNIVERSITY HEALTH SYSTEM PTE. LTD.</v>
      </c>
      <c r="T31" s="3" t="str">
        <f>"7452007126"</f>
        <v>7452007126</v>
      </c>
      <c r="U31" s="3" t="str">
        <f t="shared" ref="U31:U32" si="12">"958455A"</f>
        <v>958455A</v>
      </c>
      <c r="V31" s="64">
        <v>45861</v>
      </c>
      <c r="W31" s="64">
        <v>45866</v>
      </c>
      <c r="X31" s="65">
        <f t="shared" si="7"/>
        <v>5</v>
      </c>
      <c r="Y31" s="65" t="str">
        <f>"MS6VC-01287GLP"</f>
        <v>MS6VC-01287GLP</v>
      </c>
      <c r="Z31" s="3" t="str">
        <f>"MS WIN REMOTE DESKTOP SERVICES CAL SLNG LSA DCAL"</f>
        <v>MS WIN REMOTE DESKTOP SERVICES CAL SLNG LSA DCAL</v>
      </c>
      <c r="AA31" s="3" t="str">
        <f t="shared" si="8"/>
        <v>MELIZA MARQUEZ</v>
      </c>
      <c r="AB31" s="66">
        <v>10</v>
      </c>
      <c r="AC31" s="75">
        <f t="shared" si="0"/>
        <v>250.19</v>
      </c>
      <c r="AD31" s="67">
        <v>2501.9</v>
      </c>
      <c r="AE31" s="67" t="str">
        <f t="shared" si="9"/>
        <v>-</v>
      </c>
      <c r="AF31" s="78">
        <v>2501.9</v>
      </c>
      <c r="AG31" s="68" t="s">
        <v>96</v>
      </c>
      <c r="AH31" s="70" t="str">
        <f t="shared" si="10"/>
        <v>AIO-INNOVATION OFFICE_x000D_NATIONAL UNIVERSITY HEALTH SYSTEM PTE LTD Tower Block, 1E KENT RIDGE ROAD  SINGAPORE 119228_x000D_Jennis Kua_x000D_TEL: 91382743_x000D_FAX: _x000D_EMAIL: jennis_kua@nuhs.edu.sg</v>
      </c>
      <c r="AI31" s="71" t="s">
        <v>95</v>
      </c>
      <c r="AJ31" s="63" t="s">
        <v>97</v>
      </c>
      <c r="AK31" s="3" t="str">
        <f>"MS6VC-01287GLP"</f>
        <v>MS6VC-01287GLP</v>
      </c>
      <c r="AL31" s="3" t="str">
        <f>"MS WIN REMOTE DESKTOP SERVICES CAL SLNG LSA DCAL"</f>
        <v>MS WIN REMOTE DESKTOP SERVICES CAL SLNG LSA DCAL</v>
      </c>
      <c r="AM31" s="3" t="s">
        <v>207</v>
      </c>
      <c r="AN31" s="72">
        <v>45870</v>
      </c>
      <c r="AO31" s="72">
        <v>46691</v>
      </c>
      <c r="AP31" s="3"/>
      <c r="AQ31" s="3"/>
      <c r="AR31" s="22"/>
    </row>
    <row r="32" spans="1:48">
      <c r="A32" s="1" t="s">
        <v>206</v>
      </c>
      <c r="B32" s="1" t="str">
        <f t="shared" si="1"/>
        <v>Show</v>
      </c>
      <c r="C32" s="4" t="s">
        <v>48</v>
      </c>
      <c r="E32" s="13" t="str">
        <f>"""UICACS"","""",""SQL="",""2=DOCNUM"",""33039538"",""14=CUSTREF"",""7452007126"",""14=U_CUSTREF"",""7452007126"",""15=DOCDATE"",""28/7/2025"",""15=TAXDATE"",""28/7/2025"",""14=CARDCODE"",""CN0245-SGD"",""14=CARDNAME"",""NATIONAL UNIVERSITY HEALTH SYSTEM PTE. LTD."",""14=ITEMCODE"",""MS9EM-00"&amp;"259GLP"",""14=ITEMNAME"",""MS WIN SERVER STANDARD CORE SLNG LSA 16L"",""10=QUANTITY"",""1.000000"",""14=U_PONO"",""ESU958455A"",""15=U_PODATE"",""23/7/2025"",""10=U_TLINTCOS"",""0.000000"",""2=SLPCODE"",""101"",""14=SLPNAME"",""E0001-MM"",""14=MEMO"",""MELIZA MARQUEZ"",""14=CONTACTNAME"","""&amp;"E-INVOICE(AP DIRECT)"",""10=LINETOTAL"",""1676.310000"",""14=U_ENR"","""",""14=U_MSENR"",""S7138270"",""14=U_MSPCN"",""AB57EDFE"",""14=ADDRESS2"",""AIO-INNOVATION OFFICE_x000D_NATIONAL UNIVERSITY HEALTH SYSTEM PTE LTD Tower Block, 1E KENT RIDGE ROAD  SINGAPORE 119228_x000D_Jennis Kua_x000D_TE"&amp;"L: 91382743_x000D_FAX: _x000D_EMAIL: jennis_kua@nuhs.edu.sg"""</f>
        <v>"UICACS","","SQL=","2=DOCNUM","33039538","14=CUSTREF","7452007126","14=U_CUSTREF","7452007126","15=DOCDATE","28/7/2025","15=TAXDATE","28/7/2025","14=CARDCODE","CN0245-SGD","14=CARDNAME","NATIONAL UNIVERSITY HEALTH SYSTEM PTE. LTD.","14=ITEMCODE","MS9EM-00259GLP","14=ITEMNAME","MS WIN SERVER STANDARD CORE SLNG LSA 16L","10=QUANTITY","1.000000","14=U_PONO","ESU958455A","15=U_PODATE","23/7/2025","10=U_TLINTCOS","0.000000","2=SLPCODE","101","14=SLPNAME","E0001-MM","14=MEMO","MELIZA MARQUEZ","14=CONTACTNAME","E-INVOICE(AP DIRECT)","10=LINETOTAL","1676.310000","14=U_ENR","","14=U_MSENR","S7138270","14=U_MSPCN","AB57EDFE","14=ADDRESS2","AIO-INNOVATION OFFICE_x000D_NATIONAL UNIVERSITY HEALTH SYSTEM PTE LTD Tower Block, 1E KENT RIDGE ROAD  SINGAPORE 119228_x000D_Jennis Kua_x000D_TEL: 91382743_x000D_FAX: _x000D_EMAIL: jennis_kua@nuhs.edu.sg"</v>
      </c>
      <c r="K32" s="3">
        <f t="shared" si="2"/>
        <v>7</v>
      </c>
      <c r="L32" s="3">
        <f t="shared" si="3"/>
        <v>2025</v>
      </c>
      <c r="M32" s="3">
        <v>33039538</v>
      </c>
      <c r="N32" s="63">
        <v>45866</v>
      </c>
      <c r="O32" s="3" t="str">
        <f t="shared" si="4"/>
        <v>S7138270</v>
      </c>
      <c r="P32" s="3" t="str">
        <f t="shared" si="5"/>
        <v>AB57EDFE</v>
      </c>
      <c r="Q32" s="3" t="s">
        <v>95</v>
      </c>
      <c r="R32" s="3" t="str">
        <f t="shared" si="6"/>
        <v>CN0245-SGD</v>
      </c>
      <c r="S32" s="3" t="str">
        <f t="shared" si="11"/>
        <v>NATIONAL UNIVERSITY HEALTH SYSTEM PTE. LTD.</v>
      </c>
      <c r="T32" s="3" t="str">
        <f>"7452007126"</f>
        <v>7452007126</v>
      </c>
      <c r="U32" s="3" t="str">
        <f t="shared" si="12"/>
        <v>958455A</v>
      </c>
      <c r="V32" s="64">
        <v>45861</v>
      </c>
      <c r="W32" s="64">
        <v>45866</v>
      </c>
      <c r="X32" s="65">
        <f t="shared" si="7"/>
        <v>5</v>
      </c>
      <c r="Y32" s="65" t="str">
        <f>"MS9EM-00259GLP"</f>
        <v>MS9EM-00259GLP</v>
      </c>
      <c r="Z32" s="3" t="str">
        <f>"MS WIN SERVER STANDARD CORE SLNG LSA 16L"</f>
        <v>MS WIN SERVER STANDARD CORE SLNG LSA 16L</v>
      </c>
      <c r="AA32" s="3" t="str">
        <f t="shared" si="8"/>
        <v>MELIZA MARQUEZ</v>
      </c>
      <c r="AB32" s="66">
        <v>1</v>
      </c>
      <c r="AC32" s="75">
        <f t="shared" si="0"/>
        <v>1676.31</v>
      </c>
      <c r="AD32" s="67">
        <v>1676.31</v>
      </c>
      <c r="AE32" s="67" t="str">
        <f t="shared" si="9"/>
        <v>-</v>
      </c>
      <c r="AF32" s="78">
        <v>1676.31</v>
      </c>
      <c r="AG32" s="68" t="s">
        <v>96</v>
      </c>
      <c r="AH32" s="70" t="str">
        <f t="shared" si="10"/>
        <v>AIO-INNOVATION OFFICE_x000D_NATIONAL UNIVERSITY HEALTH SYSTEM PTE LTD Tower Block, 1E KENT RIDGE ROAD  SINGAPORE 119228_x000D_Jennis Kua_x000D_TEL: 91382743_x000D_FAX: _x000D_EMAIL: jennis_kua@nuhs.edu.sg</v>
      </c>
      <c r="AI32" s="71" t="s">
        <v>95</v>
      </c>
      <c r="AJ32" s="63" t="s">
        <v>97</v>
      </c>
      <c r="AK32" s="3" t="str">
        <f>"MS9EM-00259GLP"</f>
        <v>MS9EM-00259GLP</v>
      </c>
      <c r="AL32" s="3" t="str">
        <f>"MS WIN SERVER STANDARD CORE SLNG LSA 16L"</f>
        <v>MS WIN SERVER STANDARD CORE SLNG LSA 16L</v>
      </c>
      <c r="AM32" s="3" t="s">
        <v>207</v>
      </c>
      <c r="AN32" s="72">
        <v>45870</v>
      </c>
      <c r="AO32" s="72">
        <v>46691</v>
      </c>
      <c r="AP32" s="3"/>
      <c r="AQ32" s="3"/>
      <c r="AR32" s="22"/>
    </row>
    <row r="33" spans="49:50">
      <c r="AW33" s="16"/>
    </row>
    <row r="34" spans="49:50">
      <c r="AX34" s="16"/>
    </row>
  </sheetData>
  <sortState xmlns:xlrd2="http://schemas.microsoft.com/office/spreadsheetml/2017/richdata2" ref="K24:AJ376">
    <sortCondition ref="R24:R378"/>
  </sortState>
  <mergeCells count="1">
    <mergeCell ref="K21:AH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"/>
  <sheetViews>
    <sheetView topLeftCell="C8" zoomScale="70" zoomScaleNormal="70" workbookViewId="0">
      <selection activeCell="P3" sqref="P3"/>
    </sheetView>
  </sheetViews>
  <sheetFormatPr defaultRowHeight="15"/>
  <cols>
    <col min="1" max="1" width="9.140625" hidden="1" customWidth="1"/>
    <col min="2" max="2" width="11.85546875" bestFit="1" customWidth="1"/>
    <col min="3" max="3" width="145" bestFit="1" customWidth="1"/>
    <col min="4" max="4" width="15.5703125" bestFit="1" customWidth="1"/>
    <col min="5" max="5" width="14.85546875" bestFit="1" customWidth="1"/>
    <col min="6" max="6" width="15.42578125" bestFit="1" customWidth="1"/>
    <col min="7" max="7" width="25.140625" bestFit="1" customWidth="1"/>
    <col min="8" max="8" width="13.5703125" bestFit="1" customWidth="1"/>
    <col min="9" max="9" width="19.28515625" bestFit="1" customWidth="1"/>
    <col min="10" max="10" width="13.7109375" bestFit="1" customWidth="1"/>
    <col min="11" max="11" width="14.28515625" bestFit="1" customWidth="1"/>
    <col min="12" max="12" width="11.42578125" bestFit="1" customWidth="1"/>
    <col min="13" max="13" width="11.7109375" bestFit="1" customWidth="1"/>
    <col min="14" max="14" width="15" bestFit="1" customWidth="1"/>
    <col min="15" max="15" width="12.5703125" bestFit="1" customWidth="1"/>
    <col min="16" max="16" width="9.7109375" bestFit="1" customWidth="1"/>
    <col min="17" max="17" width="8" bestFit="1" customWidth="1"/>
    <col min="18" max="18" width="9.85546875" bestFit="1" customWidth="1"/>
    <col min="19" max="19" width="12.140625" bestFit="1" customWidth="1"/>
  </cols>
  <sheetData>
    <row r="1" spans="1:19" hidden="1">
      <c r="A1" t="s">
        <v>75</v>
      </c>
    </row>
    <row r="2" spans="1:19">
      <c r="B2" s="30" t="s">
        <v>14</v>
      </c>
      <c r="C2" s="30" t="s">
        <v>16</v>
      </c>
      <c r="D2" s="30" t="s">
        <v>30</v>
      </c>
      <c r="E2" s="30" t="s">
        <v>31</v>
      </c>
      <c r="F2" s="30" t="s">
        <v>32</v>
      </c>
      <c r="G2" s="30" t="s">
        <v>33</v>
      </c>
      <c r="H2" s="30" t="s">
        <v>34</v>
      </c>
      <c r="I2" s="30" t="s">
        <v>35</v>
      </c>
      <c r="J2" s="30" t="s">
        <v>36</v>
      </c>
      <c r="K2" s="30" t="s">
        <v>12</v>
      </c>
      <c r="L2" s="30" t="s">
        <v>32</v>
      </c>
      <c r="M2" s="30" t="s">
        <v>13</v>
      </c>
      <c r="N2" s="30" t="s">
        <v>37</v>
      </c>
      <c r="O2" s="30" t="s">
        <v>38</v>
      </c>
      <c r="P2" s="31" t="s">
        <v>17</v>
      </c>
      <c r="Q2" s="30" t="s">
        <v>15</v>
      </c>
      <c r="R2" s="31" t="s">
        <v>57</v>
      </c>
      <c r="S2" s="32" t="s">
        <v>58</v>
      </c>
    </row>
    <row r="3" spans="1:19">
      <c r="B3" s="33" t="s">
        <v>59</v>
      </c>
      <c r="C3" s="34" t="s">
        <v>60</v>
      </c>
      <c r="D3" s="33" t="s">
        <v>39</v>
      </c>
      <c r="E3" s="33" t="s">
        <v>61</v>
      </c>
      <c r="F3" s="33" t="s">
        <v>62</v>
      </c>
      <c r="G3" s="33" t="s">
        <v>63</v>
      </c>
      <c r="H3" s="33" t="s">
        <v>64</v>
      </c>
      <c r="I3" s="33" t="s">
        <v>40</v>
      </c>
      <c r="J3" s="33" t="s">
        <v>65</v>
      </c>
      <c r="K3" s="33" t="s">
        <v>66</v>
      </c>
      <c r="L3" s="33" t="s">
        <v>67</v>
      </c>
      <c r="M3" s="33" t="s">
        <v>68</v>
      </c>
      <c r="N3" s="33" t="s">
        <v>69</v>
      </c>
      <c r="O3" s="33" t="s">
        <v>70</v>
      </c>
      <c r="P3" s="34" t="s">
        <v>71</v>
      </c>
      <c r="Q3" s="33" t="s">
        <v>72</v>
      </c>
      <c r="R3" s="35" t="e">
        <v>#VALUE!</v>
      </c>
      <c r="S3" s="35" t="s">
        <v>73</v>
      </c>
    </row>
    <row r="4" spans="1:19">
      <c r="B4" s="10" t="s">
        <v>14</v>
      </c>
      <c r="C4" s="10" t="s">
        <v>16</v>
      </c>
      <c r="D4" s="19" t="s">
        <v>30</v>
      </c>
      <c r="E4" s="10" t="s">
        <v>31</v>
      </c>
      <c r="F4" s="11" t="s">
        <v>32</v>
      </c>
      <c r="G4" s="11" t="s">
        <v>33</v>
      </c>
      <c r="H4" s="11" t="s">
        <v>34</v>
      </c>
      <c r="I4" s="10" t="s">
        <v>35</v>
      </c>
      <c r="J4" s="12" t="s">
        <v>36</v>
      </c>
      <c r="K4" s="12" t="s">
        <v>12</v>
      </c>
      <c r="L4" s="11" t="s">
        <v>32</v>
      </c>
      <c r="M4" s="11" t="s">
        <v>13</v>
      </c>
      <c r="N4" s="11" t="s">
        <v>37</v>
      </c>
      <c r="O4" s="11" t="s">
        <v>38</v>
      </c>
      <c r="P4" s="11" t="s">
        <v>17</v>
      </c>
      <c r="Q4" s="11" t="s">
        <v>15</v>
      </c>
      <c r="R4" s="35"/>
      <c r="S4" s="35"/>
    </row>
    <row r="5" spans="1:19" ht="195">
      <c r="B5" t="s">
        <v>74</v>
      </c>
      <c r="C5" s="29" t="s">
        <v>54</v>
      </c>
    </row>
    <row r="7" spans="1:19" ht="195">
      <c r="C7" s="29" t="s">
        <v>56</v>
      </c>
    </row>
    <row r="9" spans="1:19" ht="195">
      <c r="C9" s="29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5706E-2CE0-4F9F-8BD4-E25E5FC8379D}">
  <dimension ref="A1:B9"/>
  <sheetViews>
    <sheetView topLeftCell="B2" workbookViewId="0">
      <selection activeCell="B9" sqref="B9"/>
    </sheetView>
  </sheetViews>
  <sheetFormatPr defaultRowHeight="15"/>
  <cols>
    <col min="1" max="1" width="8.85546875" hidden="1" customWidth="1"/>
  </cols>
  <sheetData>
    <row r="1" spans="1:2" hidden="1">
      <c r="A1" t="s">
        <v>75</v>
      </c>
    </row>
    <row r="5" spans="1:2" ht="18.75">
      <c r="B5" s="57" t="s">
        <v>99</v>
      </c>
    </row>
    <row r="7" spans="1:2">
      <c r="B7" s="6" t="str">
        <f>"'CI1148-SGD','CN0035-SGD', 'CA0035-SGD','CN0359-SGD','CJ0050-SGD', 'CG0164-SGD','CY0036-SGD','CI1244-SGD',"</f>
        <v>'CI1148-SGD','CN0035-SGD', 'CA0035-SGD','CN0359-SGD','CJ0050-SGD', 'CG0164-SGD','CY0036-SGD','CI1244-SGD',</v>
      </c>
    </row>
    <row r="8" spans="1:2">
      <c r="B8" s="4" t="str">
        <f>"'CI1252-SGD','CI1278-SGD','CI1305-SGD','CN0025-SGD','CN0026-SGD','CN0170-SGD','CN0210-SGD','CI1296-SGD','CA0216-SGD','CT0122-SGD'"</f>
        <v>'CI1252-SGD','CI1278-SGD','CI1305-SGD','CN0025-SGD','CN0026-SGD','CN0170-SGD','CN0210-SGD','CI1296-SGD','CA0216-SGD','CT0122-SGD'</v>
      </c>
    </row>
    <row r="9" spans="1:2">
      <c r="B9" s="4" t="str">
        <f>"'CW0080-SGD','CY0036-SGD','CW0080-SGD','CS0176-SGD','CG0164-SGD'"</f>
        <v>'CW0080-SGD','CY0036-SGD','CW0080-SGD','CS0176-SGD','CG0164-SGD'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52AC3-7A9A-4EB2-89AD-D2599CE71C07}">
  <dimension ref="A1:E26"/>
  <sheetViews>
    <sheetView workbookViewId="0"/>
  </sheetViews>
  <sheetFormatPr defaultRowHeight="15"/>
  <sheetData>
    <row r="1" spans="1:5">
      <c r="A1" s="58" t="s">
        <v>137</v>
      </c>
      <c r="B1" s="58" t="s">
        <v>1</v>
      </c>
      <c r="C1" s="58" t="s">
        <v>2</v>
      </c>
      <c r="D1" s="58" t="s">
        <v>3</v>
      </c>
    </row>
    <row r="2" spans="1:5">
      <c r="B2" s="58" t="s">
        <v>19</v>
      </c>
      <c r="C2" s="58" t="s">
        <v>4</v>
      </c>
    </row>
    <row r="3" spans="1:5">
      <c r="A3" s="58" t="s">
        <v>0</v>
      </c>
      <c r="B3" s="58" t="s">
        <v>5</v>
      </c>
      <c r="C3" s="58" t="s">
        <v>202</v>
      </c>
    </row>
    <row r="4" spans="1:5">
      <c r="A4" s="58" t="s">
        <v>0</v>
      </c>
      <c r="B4" s="58" t="s">
        <v>6</v>
      </c>
      <c r="C4" s="58" t="s">
        <v>203</v>
      </c>
    </row>
    <row r="5" spans="1:5">
      <c r="A5" s="58" t="s">
        <v>0</v>
      </c>
      <c r="B5" s="58" t="s">
        <v>26</v>
      </c>
      <c r="C5" s="58" t="s">
        <v>100</v>
      </c>
      <c r="D5" s="58" t="s">
        <v>101</v>
      </c>
      <c r="E5" s="58" t="s">
        <v>45</v>
      </c>
    </row>
    <row r="8" spans="1:5">
      <c r="A8" s="58" t="s">
        <v>8</v>
      </c>
      <c r="C8" s="58" t="s">
        <v>102</v>
      </c>
    </row>
    <row r="9" spans="1:5">
      <c r="A9" s="58" t="s">
        <v>9</v>
      </c>
      <c r="C9" s="58" t="s">
        <v>103</v>
      </c>
    </row>
    <row r="10" spans="1:5">
      <c r="B10" s="58" t="s">
        <v>42</v>
      </c>
      <c r="C10" s="58" t="s">
        <v>104</v>
      </c>
    </row>
    <row r="11" spans="1:5">
      <c r="B11" s="58" t="s">
        <v>39</v>
      </c>
      <c r="C11" s="58" t="s">
        <v>104</v>
      </c>
    </row>
    <row r="12" spans="1:5">
      <c r="B12" s="58" t="s">
        <v>43</v>
      </c>
      <c r="C12" s="58" t="s">
        <v>105</v>
      </c>
    </row>
    <row r="13" spans="1:5">
      <c r="B13" s="58" t="s">
        <v>44</v>
      </c>
      <c r="C13" s="58" t="s">
        <v>106</v>
      </c>
      <c r="D13" s="58" t="s">
        <v>107</v>
      </c>
    </row>
    <row r="14" spans="1:5">
      <c r="D14" s="58" t="s">
        <v>108</v>
      </c>
    </row>
    <row r="15" spans="1:5">
      <c r="D15" s="58" t="s">
        <v>197</v>
      </c>
    </row>
    <row r="23" spans="3:3">
      <c r="C23" s="58" t="s">
        <v>77</v>
      </c>
    </row>
    <row r="24" spans="3:3">
      <c r="C24" s="58" t="s">
        <v>109</v>
      </c>
    </row>
    <row r="25" spans="3:3">
      <c r="C25" s="58" t="s">
        <v>110</v>
      </c>
    </row>
    <row r="26" spans="3:3">
      <c r="C26" s="58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38AD6-990D-491D-A87D-578A26FC79A5}">
  <dimension ref="A1:E26"/>
  <sheetViews>
    <sheetView workbookViewId="0"/>
  </sheetViews>
  <sheetFormatPr defaultRowHeight="15"/>
  <sheetData>
    <row r="1" spans="1:5">
      <c r="A1" s="58" t="s">
        <v>137</v>
      </c>
      <c r="B1" s="58" t="s">
        <v>1</v>
      </c>
      <c r="C1" s="58" t="s">
        <v>2</v>
      </c>
      <c r="D1" s="58" t="s">
        <v>3</v>
      </c>
    </row>
    <row r="2" spans="1:5">
      <c r="B2" s="58" t="s">
        <v>19</v>
      </c>
      <c r="C2" s="58" t="s">
        <v>4</v>
      </c>
    </row>
    <row r="3" spans="1:5">
      <c r="A3" s="58" t="s">
        <v>0</v>
      </c>
      <c r="B3" s="58" t="s">
        <v>5</v>
      </c>
      <c r="C3" s="58" t="s">
        <v>202</v>
      </c>
    </row>
    <row r="4" spans="1:5">
      <c r="A4" s="58" t="s">
        <v>0</v>
      </c>
      <c r="B4" s="58" t="s">
        <v>6</v>
      </c>
      <c r="C4" s="58" t="s">
        <v>203</v>
      </c>
    </row>
    <row r="5" spans="1:5">
      <c r="A5" s="58" t="s">
        <v>0</v>
      </c>
      <c r="B5" s="58" t="s">
        <v>26</v>
      </c>
      <c r="C5" s="58" t="s">
        <v>100</v>
      </c>
      <c r="D5" s="58" t="s">
        <v>101</v>
      </c>
      <c r="E5" s="58" t="s">
        <v>45</v>
      </c>
    </row>
    <row r="8" spans="1:5">
      <c r="A8" s="58" t="s">
        <v>8</v>
      </c>
      <c r="C8" s="58" t="s">
        <v>102</v>
      </c>
    </row>
    <row r="9" spans="1:5">
      <c r="A9" s="58" t="s">
        <v>9</v>
      </c>
      <c r="C9" s="58" t="s">
        <v>103</v>
      </c>
    </row>
    <row r="10" spans="1:5">
      <c r="B10" s="58" t="s">
        <v>42</v>
      </c>
      <c r="C10" s="58" t="s">
        <v>104</v>
      </c>
    </row>
    <row r="11" spans="1:5">
      <c r="B11" s="58" t="s">
        <v>39</v>
      </c>
      <c r="C11" s="58" t="s">
        <v>104</v>
      </c>
    </row>
    <row r="12" spans="1:5">
      <c r="B12" s="58" t="s">
        <v>43</v>
      </c>
      <c r="C12" s="58" t="s">
        <v>105</v>
      </c>
    </row>
    <row r="13" spans="1:5">
      <c r="B13" s="58" t="s">
        <v>44</v>
      </c>
      <c r="C13" s="58" t="s">
        <v>106</v>
      </c>
      <c r="D13" s="58" t="s">
        <v>107</v>
      </c>
    </row>
    <row r="14" spans="1:5">
      <c r="D14" s="58" t="s">
        <v>108</v>
      </c>
    </row>
    <row r="15" spans="1:5">
      <c r="D15" s="58" t="s">
        <v>197</v>
      </c>
    </row>
    <row r="23" spans="3:3">
      <c r="C23" s="58" t="s">
        <v>77</v>
      </c>
    </row>
    <row r="24" spans="3:3">
      <c r="C24" s="58" t="s">
        <v>109</v>
      </c>
    </row>
    <row r="25" spans="3:3">
      <c r="C25" s="58" t="s">
        <v>110</v>
      </c>
    </row>
    <row r="26" spans="3:3">
      <c r="C26" s="58" t="s">
        <v>111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9A86A-033D-4AF8-9AB6-884817DB451A}">
  <dimension ref="A1:AP28"/>
  <sheetViews>
    <sheetView workbookViewId="0"/>
  </sheetViews>
  <sheetFormatPr defaultRowHeight="15"/>
  <sheetData>
    <row r="1" spans="1:33">
      <c r="A1" s="58" t="s">
        <v>138</v>
      </c>
      <c r="B1" s="58" t="s">
        <v>46</v>
      </c>
      <c r="C1" s="58" t="s">
        <v>7</v>
      </c>
      <c r="D1" s="58" t="s">
        <v>7</v>
      </c>
      <c r="E1" s="58" t="s">
        <v>7</v>
      </c>
      <c r="F1" s="58" t="s">
        <v>7</v>
      </c>
      <c r="G1" s="58" t="s">
        <v>7</v>
      </c>
      <c r="H1" s="58" t="s">
        <v>7</v>
      </c>
      <c r="I1" s="58" t="s">
        <v>7</v>
      </c>
      <c r="J1" s="58" t="s">
        <v>53</v>
      </c>
      <c r="K1" s="58" t="s">
        <v>18</v>
      </c>
      <c r="L1" s="58" t="s">
        <v>18</v>
      </c>
      <c r="O1" s="58" t="s">
        <v>18</v>
      </c>
      <c r="P1" s="58" t="s">
        <v>18</v>
      </c>
      <c r="R1" s="58" t="s">
        <v>18</v>
      </c>
      <c r="S1" s="58" t="s">
        <v>18</v>
      </c>
      <c r="T1" s="58" t="s">
        <v>18</v>
      </c>
      <c r="V1" s="58" t="s">
        <v>18</v>
      </c>
      <c r="W1" s="58" t="s">
        <v>18</v>
      </c>
      <c r="Y1" s="58" t="s">
        <v>7</v>
      </c>
      <c r="Z1" s="58" t="s">
        <v>7</v>
      </c>
      <c r="AA1" s="58" t="s">
        <v>18</v>
      </c>
      <c r="AB1" s="58" t="s">
        <v>18</v>
      </c>
      <c r="AE1" s="58" t="s">
        <v>18</v>
      </c>
      <c r="AG1" s="58" t="s">
        <v>18</v>
      </c>
    </row>
    <row r="2" spans="1:33">
      <c r="A2" s="58" t="s">
        <v>7</v>
      </c>
      <c r="D2" s="58" t="s">
        <v>19</v>
      </c>
      <c r="E2" s="58" t="s">
        <v>112</v>
      </c>
    </row>
    <row r="3" spans="1:33">
      <c r="A3" s="58" t="s">
        <v>7</v>
      </c>
      <c r="D3" s="58" t="s">
        <v>22</v>
      </c>
      <c r="E3" s="58" t="s">
        <v>20</v>
      </c>
      <c r="F3" s="58" t="s">
        <v>21</v>
      </c>
      <c r="G3" s="58" t="s">
        <v>23</v>
      </c>
      <c r="H3" s="58" t="s">
        <v>47</v>
      </c>
      <c r="I3" s="58" t="s">
        <v>24</v>
      </c>
    </row>
    <row r="4" spans="1:33">
      <c r="A4" s="58" t="s">
        <v>7</v>
      </c>
      <c r="C4" s="58" t="s">
        <v>11</v>
      </c>
      <c r="D4" s="58" t="s">
        <v>113</v>
      </c>
      <c r="E4" s="58" t="s">
        <v>114</v>
      </c>
      <c r="F4" s="58" t="s">
        <v>51</v>
      </c>
      <c r="G4" s="58" t="s">
        <v>25</v>
      </c>
      <c r="H4" s="58" t="s">
        <v>115</v>
      </c>
    </row>
    <row r="5" spans="1:33">
      <c r="A5" s="58" t="s">
        <v>7</v>
      </c>
      <c r="C5" s="58" t="s">
        <v>10</v>
      </c>
      <c r="D5" s="58" t="s">
        <v>116</v>
      </c>
      <c r="E5" s="58" t="s">
        <v>117</v>
      </c>
      <c r="F5" s="58" t="s">
        <v>52</v>
      </c>
      <c r="G5" s="58" t="s">
        <v>25</v>
      </c>
      <c r="H5" s="58" t="s">
        <v>115</v>
      </c>
      <c r="I5" s="58" t="s">
        <v>118</v>
      </c>
    </row>
    <row r="6" spans="1:33">
      <c r="A6" s="58" t="s">
        <v>7</v>
      </c>
      <c r="C6" s="58" t="s">
        <v>41</v>
      </c>
      <c r="D6" s="58" t="s">
        <v>119</v>
      </c>
      <c r="E6" s="58" t="s">
        <v>120</v>
      </c>
      <c r="F6" s="58" t="s">
        <v>52</v>
      </c>
      <c r="G6" s="58" t="s">
        <v>25</v>
      </c>
      <c r="H6" s="58" t="s">
        <v>115</v>
      </c>
      <c r="I6" s="58" t="s">
        <v>121</v>
      </c>
    </row>
    <row r="7" spans="1:33">
      <c r="A7" s="58" t="s">
        <v>7</v>
      </c>
    </row>
    <row r="8" spans="1:33">
      <c r="A8" s="58" t="s">
        <v>7</v>
      </c>
    </row>
    <row r="9" spans="1:33">
      <c r="A9" s="58" t="s">
        <v>7</v>
      </c>
    </row>
    <row r="10" spans="1:33">
      <c r="A10" s="58" t="s">
        <v>7</v>
      </c>
    </row>
    <row r="11" spans="1:33">
      <c r="A11" s="58" t="s">
        <v>7</v>
      </c>
      <c r="C11" s="58" t="s">
        <v>27</v>
      </c>
      <c r="E11" s="58" t="s">
        <v>122</v>
      </c>
    </row>
    <row r="12" spans="1:33">
      <c r="A12" s="58" t="s">
        <v>7</v>
      </c>
      <c r="C12" s="58" t="s">
        <v>28</v>
      </c>
      <c r="E12" s="58" t="s">
        <v>123</v>
      </c>
    </row>
    <row r="13" spans="1:33">
      <c r="A13" s="58" t="s">
        <v>7</v>
      </c>
      <c r="C13" s="58" t="s">
        <v>42</v>
      </c>
      <c r="E13" s="58" t="s">
        <v>124</v>
      </c>
    </row>
    <row r="14" spans="1:33">
      <c r="A14" s="58" t="s">
        <v>7</v>
      </c>
      <c r="C14" s="58" t="s">
        <v>39</v>
      </c>
      <c r="E14" s="58" t="s">
        <v>125</v>
      </c>
    </row>
    <row r="15" spans="1:33">
      <c r="A15" s="58" t="s">
        <v>7</v>
      </c>
      <c r="C15" s="58" t="s">
        <v>43</v>
      </c>
      <c r="E15" s="58" t="s">
        <v>126</v>
      </c>
    </row>
    <row r="16" spans="1:33">
      <c r="A16" s="58" t="s">
        <v>7</v>
      </c>
      <c r="C16" s="58" t="s">
        <v>44</v>
      </c>
      <c r="E16" s="58" t="s">
        <v>127</v>
      </c>
    </row>
    <row r="17" spans="1:42">
      <c r="A17" s="58" t="s">
        <v>7</v>
      </c>
    </row>
    <row r="18" spans="1:42">
      <c r="A18" s="58" t="s">
        <v>7</v>
      </c>
    </row>
    <row r="21" spans="1:42">
      <c r="K21" s="58" t="s">
        <v>76</v>
      </c>
    </row>
    <row r="23" spans="1:42">
      <c r="E23" s="58" t="s">
        <v>29</v>
      </c>
      <c r="K23" s="58" t="s">
        <v>78</v>
      </c>
      <c r="L23" s="58" t="s">
        <v>79</v>
      </c>
      <c r="M23" s="58" t="s">
        <v>14</v>
      </c>
      <c r="N23" s="58" t="s">
        <v>16</v>
      </c>
      <c r="O23" s="58" t="s">
        <v>30</v>
      </c>
      <c r="P23" s="58" t="s">
        <v>98</v>
      </c>
      <c r="Q23" s="58" t="s">
        <v>80</v>
      </c>
      <c r="R23" s="58" t="s">
        <v>31</v>
      </c>
      <c r="S23" s="58" t="s">
        <v>38</v>
      </c>
      <c r="T23" s="58" t="s">
        <v>34</v>
      </c>
      <c r="U23" s="58" t="s">
        <v>15</v>
      </c>
      <c r="V23" s="58" t="s">
        <v>17</v>
      </c>
      <c r="W23" s="58" t="s">
        <v>81</v>
      </c>
      <c r="X23" s="58" t="s">
        <v>82</v>
      </c>
      <c r="Y23" s="58" t="s">
        <v>36</v>
      </c>
      <c r="Z23" s="58" t="s">
        <v>12</v>
      </c>
      <c r="AA23" s="58" t="s">
        <v>32</v>
      </c>
      <c r="AB23" s="58" t="s">
        <v>13</v>
      </c>
      <c r="AC23" s="58" t="s">
        <v>57</v>
      </c>
      <c r="AD23" s="58" t="s">
        <v>58</v>
      </c>
      <c r="AE23" s="58" t="s">
        <v>83</v>
      </c>
      <c r="AF23" s="58" t="s">
        <v>84</v>
      </c>
      <c r="AG23" s="58" t="s">
        <v>85</v>
      </c>
      <c r="AH23" s="58" t="s">
        <v>86</v>
      </c>
      <c r="AI23" s="58" t="s">
        <v>87</v>
      </c>
      <c r="AJ23" s="58" t="s">
        <v>88</v>
      </c>
      <c r="AK23" s="58" t="s">
        <v>89</v>
      </c>
      <c r="AL23" s="58" t="s">
        <v>90</v>
      </c>
      <c r="AM23" s="58" t="s">
        <v>91</v>
      </c>
      <c r="AN23" s="58" t="s">
        <v>92</v>
      </c>
      <c r="AO23" s="58" t="s">
        <v>93</v>
      </c>
      <c r="AP23" s="58" t="s">
        <v>94</v>
      </c>
    </row>
    <row r="24" spans="1:42">
      <c r="B24" s="58" t="s">
        <v>128</v>
      </c>
      <c r="C24" s="58" t="s">
        <v>48</v>
      </c>
      <c r="E24" s="58" t="s">
        <v>129</v>
      </c>
      <c r="K24" s="58" t="s">
        <v>130</v>
      </c>
      <c r="L24" s="58" t="s">
        <v>131</v>
      </c>
      <c r="M24" s="58" t="s">
        <v>139</v>
      </c>
      <c r="N24" s="58" t="s">
        <v>140</v>
      </c>
      <c r="O24" s="58" t="s">
        <v>141</v>
      </c>
      <c r="P24" s="58" t="s">
        <v>142</v>
      </c>
      <c r="R24" s="58" t="s">
        <v>143</v>
      </c>
      <c r="S24" s="58" t="s">
        <v>144</v>
      </c>
      <c r="T24" s="58" t="s">
        <v>145</v>
      </c>
      <c r="U24" s="58" t="s">
        <v>146</v>
      </c>
      <c r="V24" s="58" t="s">
        <v>147</v>
      </c>
      <c r="W24" s="58" t="s">
        <v>148</v>
      </c>
      <c r="X24" s="58" t="s">
        <v>149</v>
      </c>
      <c r="Y24" s="58" t="s">
        <v>150</v>
      </c>
      <c r="Z24" s="58" t="s">
        <v>151</v>
      </c>
      <c r="AA24" s="58" t="s">
        <v>152</v>
      </c>
      <c r="AB24" s="58" t="s">
        <v>153</v>
      </c>
      <c r="AC24" s="58" t="s">
        <v>154</v>
      </c>
      <c r="AD24" s="58" t="s">
        <v>155</v>
      </c>
      <c r="AE24" s="58" t="s">
        <v>156</v>
      </c>
      <c r="AF24" s="58" t="s">
        <v>155</v>
      </c>
      <c r="AG24" s="58" t="s">
        <v>96</v>
      </c>
      <c r="AH24" s="58" t="s">
        <v>157</v>
      </c>
      <c r="AI24" s="58" t="s">
        <v>95</v>
      </c>
      <c r="AJ24" s="58" t="s">
        <v>97</v>
      </c>
      <c r="AK24" s="58" t="s">
        <v>158</v>
      </c>
      <c r="AL24" s="58" t="s">
        <v>159</v>
      </c>
      <c r="AM24" s="58" t="s">
        <v>160</v>
      </c>
      <c r="AN24" s="58" t="s">
        <v>161</v>
      </c>
      <c r="AO24" s="58" t="s">
        <v>162</v>
      </c>
      <c r="AP24" s="58" t="s">
        <v>163</v>
      </c>
    </row>
    <row r="25" spans="1:42">
      <c r="B25" s="58" t="s">
        <v>132</v>
      </c>
      <c r="C25" s="58" t="s">
        <v>49</v>
      </c>
      <c r="E25" s="58" t="s">
        <v>133</v>
      </c>
      <c r="K25" s="58" t="s">
        <v>164</v>
      </c>
      <c r="L25" s="58" t="s">
        <v>165</v>
      </c>
      <c r="O25" s="58" t="s">
        <v>166</v>
      </c>
      <c r="R25" s="58" t="s">
        <v>167</v>
      </c>
      <c r="S25" s="58" t="s">
        <v>168</v>
      </c>
      <c r="T25" s="58" t="s">
        <v>169</v>
      </c>
      <c r="V25" s="58" t="s">
        <v>170</v>
      </c>
      <c r="Y25" s="58" t="s">
        <v>169</v>
      </c>
      <c r="Z25" s="58" t="s">
        <v>171</v>
      </c>
      <c r="AA25" s="58" t="s">
        <v>172</v>
      </c>
      <c r="AB25" s="58" t="s">
        <v>173</v>
      </c>
      <c r="AC25" s="58" t="s">
        <v>174</v>
      </c>
      <c r="AD25" s="58" t="s">
        <v>175</v>
      </c>
      <c r="AE25" s="58" t="s">
        <v>176</v>
      </c>
      <c r="AF25" s="58" t="s">
        <v>177</v>
      </c>
      <c r="AG25" s="58" t="s">
        <v>178</v>
      </c>
      <c r="AH25" s="58" t="s">
        <v>179</v>
      </c>
    </row>
    <row r="26" spans="1:42">
      <c r="B26" s="58" t="s">
        <v>134</v>
      </c>
      <c r="C26" s="58" t="s">
        <v>50</v>
      </c>
      <c r="E26" s="58" t="s">
        <v>135</v>
      </c>
      <c r="K26" s="58" t="s">
        <v>180</v>
      </c>
      <c r="L26" s="58" t="s">
        <v>181</v>
      </c>
      <c r="O26" s="58" t="s">
        <v>182</v>
      </c>
      <c r="R26" s="58" t="s">
        <v>183</v>
      </c>
      <c r="S26" s="58" t="s">
        <v>184</v>
      </c>
      <c r="T26" s="58" t="s">
        <v>185</v>
      </c>
      <c r="V26" s="58" t="s">
        <v>186</v>
      </c>
      <c r="Y26" s="58" t="s">
        <v>185</v>
      </c>
      <c r="Z26" s="58" t="s">
        <v>187</v>
      </c>
      <c r="AA26" s="58" t="s">
        <v>188</v>
      </c>
      <c r="AB26" s="58" t="s">
        <v>189</v>
      </c>
      <c r="AC26" s="58" t="s">
        <v>190</v>
      </c>
      <c r="AD26" s="58" t="s">
        <v>191</v>
      </c>
      <c r="AE26" s="58" t="s">
        <v>192</v>
      </c>
      <c r="AF26" s="58" t="s">
        <v>193</v>
      </c>
      <c r="AG26" s="58" t="s">
        <v>194</v>
      </c>
      <c r="AH26" s="58" t="s">
        <v>195</v>
      </c>
    </row>
    <row r="28" spans="1:42">
      <c r="AC28" s="58" t="s">
        <v>136</v>
      </c>
      <c r="AD28" s="58" t="s">
        <v>196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EBC9A-7B98-4547-90FC-9F7D91E0AAD7}">
  <dimension ref="A1:AP28"/>
  <sheetViews>
    <sheetView workbookViewId="0"/>
  </sheetViews>
  <sheetFormatPr defaultRowHeight="15"/>
  <sheetData>
    <row r="1" spans="1:33">
      <c r="A1" s="58" t="s">
        <v>138</v>
      </c>
      <c r="B1" s="58" t="s">
        <v>46</v>
      </c>
      <c r="C1" s="58" t="s">
        <v>7</v>
      </c>
      <c r="D1" s="58" t="s">
        <v>7</v>
      </c>
      <c r="E1" s="58" t="s">
        <v>7</v>
      </c>
      <c r="F1" s="58" t="s">
        <v>7</v>
      </c>
      <c r="G1" s="58" t="s">
        <v>7</v>
      </c>
      <c r="H1" s="58" t="s">
        <v>7</v>
      </c>
      <c r="I1" s="58" t="s">
        <v>7</v>
      </c>
      <c r="J1" s="58" t="s">
        <v>53</v>
      </c>
      <c r="K1" s="58" t="s">
        <v>18</v>
      </c>
      <c r="L1" s="58" t="s">
        <v>18</v>
      </c>
      <c r="O1" s="58" t="s">
        <v>18</v>
      </c>
      <c r="P1" s="58" t="s">
        <v>18</v>
      </c>
      <c r="R1" s="58" t="s">
        <v>18</v>
      </c>
      <c r="S1" s="58" t="s">
        <v>18</v>
      </c>
      <c r="T1" s="58" t="s">
        <v>18</v>
      </c>
      <c r="V1" s="58" t="s">
        <v>18</v>
      </c>
      <c r="W1" s="58" t="s">
        <v>18</v>
      </c>
      <c r="Y1" s="58" t="s">
        <v>7</v>
      </c>
      <c r="Z1" s="58" t="s">
        <v>7</v>
      </c>
      <c r="AA1" s="58" t="s">
        <v>18</v>
      </c>
      <c r="AB1" s="58" t="s">
        <v>18</v>
      </c>
      <c r="AE1" s="58" t="s">
        <v>18</v>
      </c>
      <c r="AG1" s="58" t="s">
        <v>18</v>
      </c>
    </row>
    <row r="2" spans="1:33">
      <c r="A2" s="58" t="s">
        <v>7</v>
      </c>
      <c r="D2" s="58" t="s">
        <v>19</v>
      </c>
      <c r="E2" s="58" t="s">
        <v>112</v>
      </c>
    </row>
    <row r="3" spans="1:33">
      <c r="A3" s="58" t="s">
        <v>7</v>
      </c>
      <c r="D3" s="58" t="s">
        <v>22</v>
      </c>
      <c r="E3" s="58" t="s">
        <v>20</v>
      </c>
      <c r="F3" s="58" t="s">
        <v>21</v>
      </c>
      <c r="G3" s="58" t="s">
        <v>23</v>
      </c>
      <c r="H3" s="58" t="s">
        <v>47</v>
      </c>
      <c r="I3" s="58" t="s">
        <v>24</v>
      </c>
    </row>
    <row r="4" spans="1:33">
      <c r="A4" s="58" t="s">
        <v>7</v>
      </c>
      <c r="C4" s="58" t="s">
        <v>11</v>
      </c>
      <c r="D4" s="58" t="s">
        <v>113</v>
      </c>
      <c r="E4" s="58" t="s">
        <v>114</v>
      </c>
      <c r="F4" s="58" t="s">
        <v>51</v>
      </c>
      <c r="G4" s="58" t="s">
        <v>25</v>
      </c>
      <c r="H4" s="58" t="s">
        <v>115</v>
      </c>
    </row>
    <row r="5" spans="1:33">
      <c r="A5" s="58" t="s">
        <v>7</v>
      </c>
      <c r="C5" s="58" t="s">
        <v>10</v>
      </c>
      <c r="D5" s="58" t="s">
        <v>116</v>
      </c>
      <c r="E5" s="58" t="s">
        <v>117</v>
      </c>
      <c r="F5" s="58" t="s">
        <v>52</v>
      </c>
      <c r="G5" s="58" t="s">
        <v>25</v>
      </c>
      <c r="H5" s="58" t="s">
        <v>115</v>
      </c>
      <c r="I5" s="58" t="s">
        <v>118</v>
      </c>
    </row>
    <row r="6" spans="1:33">
      <c r="A6" s="58" t="s">
        <v>7</v>
      </c>
      <c r="C6" s="58" t="s">
        <v>41</v>
      </c>
      <c r="D6" s="58" t="s">
        <v>119</v>
      </c>
      <c r="E6" s="58" t="s">
        <v>120</v>
      </c>
      <c r="F6" s="58" t="s">
        <v>52</v>
      </c>
      <c r="G6" s="58" t="s">
        <v>25</v>
      </c>
      <c r="H6" s="58" t="s">
        <v>115</v>
      </c>
      <c r="I6" s="58" t="s">
        <v>121</v>
      </c>
    </row>
    <row r="7" spans="1:33">
      <c r="A7" s="58" t="s">
        <v>7</v>
      </c>
    </row>
    <row r="8" spans="1:33">
      <c r="A8" s="58" t="s">
        <v>7</v>
      </c>
    </row>
    <row r="9" spans="1:33">
      <c r="A9" s="58" t="s">
        <v>7</v>
      </c>
    </row>
    <row r="10" spans="1:33">
      <c r="A10" s="58" t="s">
        <v>7</v>
      </c>
    </row>
    <row r="11" spans="1:33">
      <c r="A11" s="58" t="s">
        <v>7</v>
      </c>
      <c r="C11" s="58" t="s">
        <v>27</v>
      </c>
      <c r="E11" s="58" t="s">
        <v>122</v>
      </c>
    </row>
    <row r="12" spans="1:33">
      <c r="A12" s="58" t="s">
        <v>7</v>
      </c>
      <c r="C12" s="58" t="s">
        <v>28</v>
      </c>
      <c r="E12" s="58" t="s">
        <v>123</v>
      </c>
    </row>
    <row r="13" spans="1:33">
      <c r="A13" s="58" t="s">
        <v>7</v>
      </c>
      <c r="C13" s="58" t="s">
        <v>42</v>
      </c>
      <c r="E13" s="58" t="s">
        <v>124</v>
      </c>
    </row>
    <row r="14" spans="1:33">
      <c r="A14" s="58" t="s">
        <v>7</v>
      </c>
      <c r="C14" s="58" t="s">
        <v>39</v>
      </c>
      <c r="E14" s="58" t="s">
        <v>125</v>
      </c>
    </row>
    <row r="15" spans="1:33">
      <c r="A15" s="58" t="s">
        <v>7</v>
      </c>
      <c r="C15" s="58" t="s">
        <v>43</v>
      </c>
      <c r="E15" s="58" t="s">
        <v>126</v>
      </c>
    </row>
    <row r="16" spans="1:33">
      <c r="A16" s="58" t="s">
        <v>7</v>
      </c>
      <c r="C16" s="58" t="s">
        <v>44</v>
      </c>
      <c r="E16" s="58" t="s">
        <v>127</v>
      </c>
    </row>
    <row r="17" spans="1:42">
      <c r="A17" s="58" t="s">
        <v>7</v>
      </c>
    </row>
    <row r="18" spans="1:42">
      <c r="A18" s="58" t="s">
        <v>7</v>
      </c>
    </row>
    <row r="21" spans="1:42">
      <c r="K21" s="58" t="s">
        <v>76</v>
      </c>
    </row>
    <row r="23" spans="1:42">
      <c r="E23" s="58" t="s">
        <v>29</v>
      </c>
      <c r="K23" s="58" t="s">
        <v>78</v>
      </c>
      <c r="L23" s="58" t="s">
        <v>79</v>
      </c>
      <c r="M23" s="58" t="s">
        <v>14</v>
      </c>
      <c r="N23" s="58" t="s">
        <v>16</v>
      </c>
      <c r="O23" s="58" t="s">
        <v>30</v>
      </c>
      <c r="P23" s="58" t="s">
        <v>98</v>
      </c>
      <c r="Q23" s="58" t="s">
        <v>80</v>
      </c>
      <c r="R23" s="58" t="s">
        <v>31</v>
      </c>
      <c r="S23" s="58" t="s">
        <v>38</v>
      </c>
      <c r="T23" s="58" t="s">
        <v>34</v>
      </c>
      <c r="U23" s="58" t="s">
        <v>15</v>
      </c>
      <c r="V23" s="58" t="s">
        <v>17</v>
      </c>
      <c r="W23" s="58" t="s">
        <v>81</v>
      </c>
      <c r="X23" s="58" t="s">
        <v>82</v>
      </c>
      <c r="Y23" s="58" t="s">
        <v>36</v>
      </c>
      <c r="Z23" s="58" t="s">
        <v>12</v>
      </c>
      <c r="AA23" s="58" t="s">
        <v>32</v>
      </c>
      <c r="AB23" s="58" t="s">
        <v>13</v>
      </c>
      <c r="AC23" s="58" t="s">
        <v>57</v>
      </c>
      <c r="AD23" s="58" t="s">
        <v>58</v>
      </c>
      <c r="AE23" s="58" t="s">
        <v>83</v>
      </c>
      <c r="AF23" s="58" t="s">
        <v>84</v>
      </c>
      <c r="AG23" s="58" t="s">
        <v>85</v>
      </c>
      <c r="AH23" s="58" t="s">
        <v>86</v>
      </c>
      <c r="AI23" s="58" t="s">
        <v>87</v>
      </c>
      <c r="AJ23" s="58" t="s">
        <v>88</v>
      </c>
      <c r="AK23" s="58" t="s">
        <v>89</v>
      </c>
      <c r="AL23" s="58" t="s">
        <v>90</v>
      </c>
      <c r="AM23" s="58" t="s">
        <v>91</v>
      </c>
      <c r="AN23" s="58" t="s">
        <v>92</v>
      </c>
      <c r="AO23" s="58" t="s">
        <v>93</v>
      </c>
      <c r="AP23" s="58" t="s">
        <v>94</v>
      </c>
    </row>
    <row r="24" spans="1:42">
      <c r="B24" s="58" t="s">
        <v>128</v>
      </c>
      <c r="C24" s="58" t="s">
        <v>48</v>
      </c>
      <c r="E24" s="58" t="s">
        <v>129</v>
      </c>
      <c r="K24" s="58" t="s">
        <v>130</v>
      </c>
      <c r="L24" s="58" t="s">
        <v>131</v>
      </c>
      <c r="M24" s="58" t="s">
        <v>139</v>
      </c>
      <c r="N24" s="58" t="s">
        <v>140</v>
      </c>
      <c r="O24" s="58" t="s">
        <v>141</v>
      </c>
      <c r="P24" s="58" t="s">
        <v>142</v>
      </c>
      <c r="R24" s="58" t="s">
        <v>143</v>
      </c>
      <c r="S24" s="58" t="s">
        <v>144</v>
      </c>
      <c r="T24" s="58" t="s">
        <v>145</v>
      </c>
      <c r="U24" s="58" t="s">
        <v>146</v>
      </c>
      <c r="V24" s="58" t="s">
        <v>147</v>
      </c>
      <c r="W24" s="58" t="s">
        <v>148</v>
      </c>
      <c r="X24" s="58" t="s">
        <v>149</v>
      </c>
      <c r="Y24" s="58" t="s">
        <v>150</v>
      </c>
      <c r="Z24" s="58" t="s">
        <v>151</v>
      </c>
      <c r="AA24" s="58" t="s">
        <v>152</v>
      </c>
      <c r="AB24" s="58" t="s">
        <v>153</v>
      </c>
      <c r="AC24" s="58" t="s">
        <v>154</v>
      </c>
      <c r="AD24" s="58" t="s">
        <v>155</v>
      </c>
      <c r="AE24" s="58" t="s">
        <v>156</v>
      </c>
      <c r="AF24" s="58" t="s">
        <v>155</v>
      </c>
      <c r="AG24" s="58" t="s">
        <v>96</v>
      </c>
      <c r="AH24" s="58" t="s">
        <v>157</v>
      </c>
      <c r="AI24" s="58" t="s">
        <v>95</v>
      </c>
      <c r="AJ24" s="58" t="s">
        <v>97</v>
      </c>
      <c r="AK24" s="58" t="s">
        <v>158</v>
      </c>
      <c r="AL24" s="58" t="s">
        <v>159</v>
      </c>
      <c r="AM24" s="58" t="s">
        <v>160</v>
      </c>
      <c r="AN24" s="58" t="s">
        <v>161</v>
      </c>
      <c r="AO24" s="58" t="s">
        <v>162</v>
      </c>
      <c r="AP24" s="58" t="s">
        <v>163</v>
      </c>
    </row>
    <row r="25" spans="1:42">
      <c r="B25" s="58" t="s">
        <v>132</v>
      </c>
      <c r="C25" s="58" t="s">
        <v>49</v>
      </c>
      <c r="E25" s="58" t="s">
        <v>133</v>
      </c>
      <c r="K25" s="58" t="s">
        <v>164</v>
      </c>
      <c r="L25" s="58" t="s">
        <v>165</v>
      </c>
      <c r="O25" s="58" t="s">
        <v>166</v>
      </c>
      <c r="R25" s="58" t="s">
        <v>167</v>
      </c>
      <c r="S25" s="58" t="s">
        <v>168</v>
      </c>
      <c r="T25" s="58" t="s">
        <v>169</v>
      </c>
      <c r="V25" s="58" t="s">
        <v>170</v>
      </c>
      <c r="Y25" s="58" t="s">
        <v>169</v>
      </c>
      <c r="Z25" s="58" t="s">
        <v>171</v>
      </c>
      <c r="AA25" s="58" t="s">
        <v>172</v>
      </c>
      <c r="AB25" s="58" t="s">
        <v>173</v>
      </c>
      <c r="AC25" s="58" t="s">
        <v>174</v>
      </c>
      <c r="AD25" s="58" t="s">
        <v>175</v>
      </c>
      <c r="AE25" s="58" t="s">
        <v>176</v>
      </c>
      <c r="AF25" s="58" t="s">
        <v>177</v>
      </c>
      <c r="AG25" s="58" t="s">
        <v>178</v>
      </c>
      <c r="AH25" s="58" t="s">
        <v>179</v>
      </c>
    </row>
    <row r="26" spans="1:42">
      <c r="B26" s="58" t="s">
        <v>134</v>
      </c>
      <c r="C26" s="58" t="s">
        <v>50</v>
      </c>
      <c r="E26" s="58" t="s">
        <v>135</v>
      </c>
      <c r="K26" s="58" t="s">
        <v>180</v>
      </c>
      <c r="L26" s="58" t="s">
        <v>181</v>
      </c>
      <c r="O26" s="58" t="s">
        <v>182</v>
      </c>
      <c r="R26" s="58" t="s">
        <v>183</v>
      </c>
      <c r="S26" s="58" t="s">
        <v>184</v>
      </c>
      <c r="T26" s="58" t="s">
        <v>185</v>
      </c>
      <c r="V26" s="58" t="s">
        <v>186</v>
      </c>
      <c r="Y26" s="58" t="s">
        <v>185</v>
      </c>
      <c r="Z26" s="58" t="s">
        <v>187</v>
      </c>
      <c r="AA26" s="58" t="s">
        <v>188</v>
      </c>
      <c r="AB26" s="58" t="s">
        <v>189</v>
      </c>
      <c r="AC26" s="58" t="s">
        <v>190</v>
      </c>
      <c r="AD26" s="58" t="s">
        <v>191</v>
      </c>
      <c r="AE26" s="58" t="s">
        <v>192</v>
      </c>
      <c r="AF26" s="58" t="s">
        <v>193</v>
      </c>
      <c r="AG26" s="58" t="s">
        <v>194</v>
      </c>
      <c r="AH26" s="58" t="s">
        <v>195</v>
      </c>
    </row>
    <row r="28" spans="1:42">
      <c r="AC28" s="58" t="s">
        <v>136</v>
      </c>
      <c r="AD28" s="58" t="s">
        <v>196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75815-4EE6-4A0C-AEEB-23B6DB2E354F}">
  <dimension ref="A1:E26"/>
  <sheetViews>
    <sheetView workbookViewId="0"/>
  </sheetViews>
  <sheetFormatPr defaultRowHeight="15"/>
  <sheetData>
    <row r="1" spans="1:5">
      <c r="A1" s="58" t="s">
        <v>199</v>
      </c>
      <c r="B1" s="58" t="s">
        <v>1</v>
      </c>
      <c r="C1" s="58" t="s">
        <v>2</v>
      </c>
      <c r="D1" s="58" t="s">
        <v>3</v>
      </c>
    </row>
    <row r="2" spans="1:5">
      <c r="B2" s="58" t="s">
        <v>19</v>
      </c>
      <c r="C2" s="58" t="s">
        <v>4</v>
      </c>
    </row>
    <row r="3" spans="1:5">
      <c r="A3" s="58" t="s">
        <v>0</v>
      </c>
      <c r="B3" s="58" t="s">
        <v>5</v>
      </c>
      <c r="C3" s="58" t="s">
        <v>202</v>
      </c>
    </row>
    <row r="4" spans="1:5">
      <c r="A4" s="58" t="s">
        <v>0</v>
      </c>
      <c r="B4" s="58" t="s">
        <v>6</v>
      </c>
      <c r="C4" s="58" t="s">
        <v>203</v>
      </c>
    </row>
    <row r="5" spans="1:5">
      <c r="A5" s="58" t="s">
        <v>0</v>
      </c>
      <c r="B5" s="58" t="s">
        <v>26</v>
      </c>
      <c r="C5" s="58" t="s">
        <v>100</v>
      </c>
      <c r="D5" s="58" t="s">
        <v>101</v>
      </c>
      <c r="E5" s="58" t="s">
        <v>45</v>
      </c>
    </row>
    <row r="8" spans="1:5">
      <c r="A8" s="58" t="s">
        <v>8</v>
      </c>
      <c r="C8" s="58" t="s">
        <v>102</v>
      </c>
    </row>
    <row r="9" spans="1:5">
      <c r="A9" s="58" t="s">
        <v>9</v>
      </c>
      <c r="C9" s="58" t="s">
        <v>103</v>
      </c>
    </row>
    <row r="10" spans="1:5">
      <c r="B10" s="58" t="s">
        <v>42</v>
      </c>
      <c r="C10" s="58" t="s">
        <v>104</v>
      </c>
    </row>
    <row r="11" spans="1:5">
      <c r="B11" s="58" t="s">
        <v>39</v>
      </c>
      <c r="C11" s="58" t="s">
        <v>104</v>
      </c>
    </row>
    <row r="12" spans="1:5">
      <c r="B12" s="58" t="s">
        <v>43</v>
      </c>
      <c r="C12" s="58" t="s">
        <v>105</v>
      </c>
    </row>
    <row r="13" spans="1:5">
      <c r="B13" s="58" t="s">
        <v>44</v>
      </c>
      <c r="C13" s="58" t="s">
        <v>106</v>
      </c>
      <c r="D13" s="58" t="s">
        <v>107</v>
      </c>
    </row>
    <row r="14" spans="1:5">
      <c r="D14" s="58" t="s">
        <v>108</v>
      </c>
    </row>
    <row r="15" spans="1:5">
      <c r="D15" s="58" t="s">
        <v>197</v>
      </c>
    </row>
    <row r="23" spans="3:3">
      <c r="C23" s="58" t="s">
        <v>77</v>
      </c>
    </row>
    <row r="24" spans="3:3">
      <c r="C24" s="58" t="s">
        <v>109</v>
      </c>
    </row>
    <row r="25" spans="3:3">
      <c r="C25" s="58" t="s">
        <v>110</v>
      </c>
    </row>
    <row r="26" spans="3:3">
      <c r="C26" s="58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Option</vt:lpstr>
      <vt:lpstr>Data</vt:lpstr>
      <vt:lpstr>Sheet1</vt:lpstr>
      <vt:lpstr>Customer 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cp:lastPrinted>2025-08-04T07:43:28Z</cp:lastPrinted>
  <dcterms:created xsi:type="dcterms:W3CDTF">2017-04-18T02:36:09Z</dcterms:created>
  <dcterms:modified xsi:type="dcterms:W3CDTF">2025-08-06T04:07:09Z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</Properties>
</file>