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F:\YUENFUN\XLS\SHS MONTHLY REPORT\2025\"/>
    </mc:Choice>
  </mc:AlternateContent>
  <xr:revisionPtr revIDLastSave="0" documentId="8_{482D7BC5-1914-4436-897F-19A22F26D61A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Customer Code" sheetId="89" r:id="rId3"/>
    <sheet name="Sheet1" sheetId="90" state="veryHidden" r:id="rId4"/>
    <sheet name="Sheet2" sheetId="91" state="veryHidden" r:id="rId5"/>
    <sheet name="Sheet3" sheetId="92" state="veryHidden" r:id="rId6"/>
    <sheet name="Sheet4" sheetId="93" state="veryHidden" r:id="rId7"/>
    <sheet name="Sheet5" sheetId="94" state="veryHidden" r:id="rId8"/>
    <sheet name="Sheet6" sheetId="95" state="veryHidden" r:id="rId9"/>
  </sheets>
  <definedNames>
    <definedName name="_xlnm._FilterDatabase" localSheetId="1" hidden="1">Data!$K$23:$AB$35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L24" i="2"/>
  <c r="O24" i="2"/>
  <c r="P24" i="2"/>
  <c r="R24" i="2"/>
  <c r="S24" i="2"/>
  <c r="T24" i="2"/>
  <c r="W24" i="2"/>
  <c r="X24" i="2"/>
  <c r="Y24" i="2"/>
  <c r="Z24" i="2"/>
  <c r="AB24" i="2"/>
  <c r="AD24" i="2"/>
  <c r="AG24" i="2"/>
  <c r="AJ24" i="2"/>
  <c r="AK24" i="2"/>
  <c r="AL24" i="2"/>
  <c r="AM24" i="2"/>
  <c r="AN24" i="2"/>
  <c r="AO24" i="2"/>
  <c r="E25" i="2"/>
  <c r="K25" i="2"/>
  <c r="B25" i="2" s="1"/>
  <c r="L25" i="2"/>
  <c r="O25" i="2"/>
  <c r="P25" i="2"/>
  <c r="R25" i="2"/>
  <c r="S25" i="2"/>
  <c r="T25" i="2"/>
  <c r="W25" i="2"/>
  <c r="X25" i="2"/>
  <c r="Y25" i="2"/>
  <c r="Z25" i="2"/>
  <c r="AB25" i="2"/>
  <c r="AD25" i="2"/>
  <c r="AG25" i="2"/>
  <c r="AJ25" i="2"/>
  <c r="AK25" i="2"/>
  <c r="AL25" i="2"/>
  <c r="AM25" i="2"/>
  <c r="AN25" i="2"/>
  <c r="AO25" i="2"/>
  <c r="E26" i="2"/>
  <c r="K26" i="2"/>
  <c r="L26" i="2"/>
  <c r="O26" i="2"/>
  <c r="P26" i="2"/>
  <c r="R26" i="2"/>
  <c r="S26" i="2"/>
  <c r="T26" i="2"/>
  <c r="W26" i="2"/>
  <c r="X26" i="2"/>
  <c r="Y26" i="2"/>
  <c r="Z26" i="2"/>
  <c r="AB26" i="2"/>
  <c r="AD26" i="2"/>
  <c r="AG26" i="2"/>
  <c r="AJ26" i="2"/>
  <c r="AK26" i="2"/>
  <c r="E27" i="2"/>
  <c r="K27" i="2"/>
  <c r="L27" i="2"/>
  <c r="O27" i="2"/>
  <c r="P27" i="2"/>
  <c r="R27" i="2"/>
  <c r="S27" i="2"/>
  <c r="T27" i="2"/>
  <c r="W27" i="2"/>
  <c r="X27" i="2"/>
  <c r="Y27" i="2"/>
  <c r="Z27" i="2"/>
  <c r="AB27" i="2"/>
  <c r="AD27" i="2"/>
  <c r="AG27" i="2"/>
  <c r="AJ27" i="2"/>
  <c r="AK27" i="2"/>
  <c r="AO27" i="2"/>
  <c r="E28" i="2"/>
  <c r="K28" i="2"/>
  <c r="L28" i="2"/>
  <c r="O28" i="2"/>
  <c r="P28" i="2"/>
  <c r="R28" i="2"/>
  <c r="S28" i="2"/>
  <c r="T28" i="2"/>
  <c r="W28" i="2"/>
  <c r="X28" i="2"/>
  <c r="Y28" i="2"/>
  <c r="Z28" i="2"/>
  <c r="AB28" i="2"/>
  <c r="AD28" i="2"/>
  <c r="AG28" i="2"/>
  <c r="AJ28" i="2"/>
  <c r="AK28" i="2"/>
  <c r="AO28" i="2"/>
  <c r="E29" i="2"/>
  <c r="K29" i="2"/>
  <c r="L29" i="2"/>
  <c r="O29" i="2"/>
  <c r="P29" i="2"/>
  <c r="R29" i="2"/>
  <c r="S29" i="2"/>
  <c r="T29" i="2"/>
  <c r="W29" i="2"/>
  <c r="X29" i="2"/>
  <c r="Y29" i="2"/>
  <c r="Z29" i="2"/>
  <c r="AB29" i="2"/>
  <c r="AD29" i="2"/>
  <c r="AG29" i="2"/>
  <c r="AJ29" i="2"/>
  <c r="AK29" i="2"/>
  <c r="AL29" i="2"/>
  <c r="AM29" i="2"/>
  <c r="AN29" i="2"/>
  <c r="AO29" i="2"/>
  <c r="E30" i="2"/>
  <c r="K30" i="2"/>
  <c r="L30" i="2"/>
  <c r="O30" i="2"/>
  <c r="P30" i="2"/>
  <c r="R30" i="2"/>
  <c r="S30" i="2"/>
  <c r="T30" i="2"/>
  <c r="W30" i="2"/>
  <c r="X30" i="2"/>
  <c r="Y30" i="2"/>
  <c r="Z30" i="2"/>
  <c r="AB30" i="2"/>
  <c r="AD30" i="2"/>
  <c r="AG30" i="2"/>
  <c r="AJ30" i="2"/>
  <c r="AK30" i="2"/>
  <c r="AL30" i="2"/>
  <c r="AM30" i="2"/>
  <c r="AN30" i="2"/>
  <c r="AO30" i="2"/>
  <c r="E31" i="2"/>
  <c r="K31" i="2"/>
  <c r="L31" i="2"/>
  <c r="O31" i="2"/>
  <c r="P31" i="2"/>
  <c r="R31" i="2"/>
  <c r="S31" i="2"/>
  <c r="T31" i="2"/>
  <c r="W31" i="2"/>
  <c r="X31" i="2"/>
  <c r="Y31" i="2"/>
  <c r="Z31" i="2"/>
  <c r="AB31" i="2"/>
  <c r="AD31" i="2"/>
  <c r="AG31" i="2"/>
  <c r="AJ31" i="2"/>
  <c r="AK31" i="2"/>
  <c r="AL31" i="2"/>
  <c r="AM31" i="2"/>
  <c r="AN31" i="2"/>
  <c r="AO31" i="2"/>
  <c r="E32" i="2"/>
  <c r="K32" i="2"/>
  <c r="B32" i="2" s="1"/>
  <c r="L32" i="2"/>
  <c r="O32" i="2"/>
  <c r="P32" i="2"/>
  <c r="R32" i="2"/>
  <c r="S32" i="2"/>
  <c r="T32" i="2"/>
  <c r="W32" i="2"/>
  <c r="X32" i="2"/>
  <c r="Y32" i="2"/>
  <c r="Z32" i="2"/>
  <c r="AB32" i="2"/>
  <c r="AD32" i="2"/>
  <c r="AG32" i="2"/>
  <c r="AJ32" i="2"/>
  <c r="AK32" i="2"/>
  <c r="AL32" i="2"/>
  <c r="AM32" i="2"/>
  <c r="AN32" i="2"/>
  <c r="AO32" i="2"/>
  <c r="E33" i="2"/>
  <c r="K33" i="2"/>
  <c r="L33" i="2"/>
  <c r="O33" i="2"/>
  <c r="P33" i="2"/>
  <c r="R33" i="2"/>
  <c r="S33" i="2"/>
  <c r="T33" i="2"/>
  <c r="W33" i="2"/>
  <c r="X33" i="2"/>
  <c r="Y33" i="2"/>
  <c r="Z33" i="2"/>
  <c r="AB33" i="2"/>
  <c r="AD33" i="2"/>
  <c r="AG33" i="2"/>
  <c r="AJ33" i="2"/>
  <c r="AK33" i="2"/>
  <c r="AO33" i="2"/>
  <c r="E34" i="2"/>
  <c r="K34" i="2"/>
  <c r="L34" i="2"/>
  <c r="M34" i="2"/>
  <c r="N34" i="2"/>
  <c r="O34" i="2"/>
  <c r="P34" i="2"/>
  <c r="Q34" i="2"/>
  <c r="S34" i="2"/>
  <c r="T34" i="2"/>
  <c r="U34" i="2"/>
  <c r="V34" i="2"/>
  <c r="W34" i="2"/>
  <c r="X34" i="2"/>
  <c r="Y34" i="2"/>
  <c r="Z34" i="2"/>
  <c r="AB34" i="2"/>
  <c r="AA34" i="2" s="1"/>
  <c r="E35" i="2"/>
  <c r="K35" i="2"/>
  <c r="L35" i="2"/>
  <c r="M35" i="2"/>
  <c r="N35" i="2"/>
  <c r="O35" i="2"/>
  <c r="P35" i="2"/>
  <c r="Q35" i="2"/>
  <c r="S35" i="2"/>
  <c r="T35" i="2"/>
  <c r="U35" i="2"/>
  <c r="V35" i="2"/>
  <c r="W35" i="2"/>
  <c r="X35" i="2"/>
  <c r="Y35" i="2"/>
  <c r="Z35" i="2"/>
  <c r="AB35" i="2"/>
  <c r="D5" i="1"/>
  <c r="B31" i="2"/>
  <c r="B30" i="2"/>
  <c r="B27" i="2"/>
  <c r="B8" i="89"/>
  <c r="B7" i="89"/>
  <c r="E14" i="2"/>
  <c r="H6" i="2"/>
  <c r="H5" i="2"/>
  <c r="H4" i="2"/>
  <c r="E2" i="2"/>
  <c r="D30" i="1"/>
  <c r="D29" i="1"/>
  <c r="D14" i="1"/>
  <c r="D13" i="1"/>
  <c r="C13" i="1"/>
  <c r="E16" i="2" s="1"/>
  <c r="C12" i="1"/>
  <c r="E15" i="2" s="1"/>
  <c r="C11" i="1"/>
  <c r="C10" i="1"/>
  <c r="E13" i="2" s="1"/>
  <c r="C5" i="1"/>
  <c r="E12" i="2" s="1"/>
  <c r="C4" i="1"/>
  <c r="C9" i="1" s="1"/>
  <c r="E11" i="2" s="1"/>
  <c r="C3" i="1"/>
  <c r="C8" i="1" s="1"/>
  <c r="AA35" i="2" l="1"/>
  <c r="B26" i="2"/>
  <c r="B33" i="2"/>
  <c r="B28" i="2"/>
  <c r="B29" i="2"/>
  <c r="D6" i="2"/>
  <c r="D5" i="2"/>
  <c r="I6" i="2"/>
  <c r="I5" i="2"/>
  <c r="D4" i="2"/>
  <c r="E4" i="2" s="1"/>
  <c r="E5" i="2" l="1"/>
  <c r="E6" i="2"/>
  <c r="B35" i="2"/>
  <c r="B34" i="2"/>
  <c r="B24" i="2"/>
</calcChain>
</file>

<file path=xl/sharedStrings.xml><?xml version="1.0" encoding="utf-8"?>
<sst xmlns="http://schemas.openxmlformats.org/spreadsheetml/2006/main" count="1189" uniqueCount="444">
  <si>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</si>
  <si>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</si>
  <si>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</si>
  <si>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</si>
  <si>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</si>
  <si>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</si>
  <si>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</si>
  <si>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</si>
  <si>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</si>
  <si>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</si>
  <si>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</si>
  <si>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</si>
  <si>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</si>
  <si>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</si>
  <si>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</si>
  <si>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</si>
  <si>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</si>
  <si>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</si>
  <si>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</si>
  <si>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</si>
  <si>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</si>
  <si>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</si>
  <si>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</si>
  <si>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</si>
  <si>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</si>
  <si>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</si>
  <si>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</si>
  <si>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</si>
  <si>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</si>
  <si>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</si>
  <si>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</si>
  <si>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</si>
  <si>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Cust Pur No</t>
  </si>
  <si>
    <t>Items</t>
  </si>
  <si>
    <t>Institution</t>
  </si>
  <si>
    <t>MSENR</t>
  </si>
  <si>
    <t>Script3</t>
  </si>
  <si>
    <t>ENR</t>
  </si>
  <si>
    <t>PRODTYPE</t>
  </si>
  <si>
    <t>BPCODE</t>
  </si>
  <si>
    <t>SINGHEALTH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</si>
  <si>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</si>
  <si>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</si>
  <si>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</si>
  <si>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</si>
  <si>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</si>
  <si>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</si>
  <si>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</si>
  <si>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</si>
  <si>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Unit Price</t>
  </si>
  <si>
    <t>Total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</si>
  <si>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99,100,101,102,103,104,105,106,107,108,109,110,111.112,113,114,115,116,117,123</t>
  </si>
  <si>
    <t>SHS</t>
  </si>
  <si>
    <t>Original Code  - before Mar 2020</t>
  </si>
  <si>
    <t>Month</t>
  </si>
  <si>
    <t>Year</t>
  </si>
  <si>
    <t>PCN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</si>
  <si>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</si>
  <si>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</si>
  <si>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</si>
  <si>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</si>
  <si>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</si>
  <si>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</si>
  <si>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</si>
  <si>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</si>
  <si>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</si>
  <si>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</si>
  <si>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</si>
  <si>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</si>
  <si>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</si>
  <si>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</si>
  <si>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</si>
  <si>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>UIC</t>
  </si>
  <si>
    <t xml:space="preserve"> </t>
  </si>
  <si>
    <t>Microsoft</t>
  </si>
  <si>
    <t>Singhealth</t>
  </si>
  <si>
    <t>Auto+Hide</t>
  </si>
  <si>
    <t>="01/04/2025"</t>
  </si>
  <si>
    <t>="30/04/2025"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</si>
  <si>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</si>
  <si>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</si>
  <si>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</si>
  <si>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</si>
  <si>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"</t>
  </si>
  <si>
    <t>="'MS'"</t>
  </si>
  <si>
    <t>=$D$13&amp;$D$14</t>
  </si>
  <si>
    <t>="'CI1077-SGD', 'CI1136-SGD', 'CI1137-SGD', 'CI1139-SGD', 'CI1146-SGD', 'CI1185-SGD', 'CI1190-SGD','CI1209-SGD','CI1232-SGD','CI1256-SGD','CN0015-SGD','CE0080-SGD','CS0084-SGD',"</t>
  </si>
  <si>
    <t>="'CS0085-SGD','CI1238-SGD','CI1190-SGD','CS0086-SGD','CS0507-SGD','CS0507-SGD','CI1261-SGD','CS0085-SGD','CC0128-SGD','CS0222-SGD','CS0226-SGD','CS0653-SGD','CI1277-SGD','CB0059-SGD''CS0678-SGD','CS0653-SGD','CS0276-SGD','CS0200-SGD'"</t>
  </si>
  <si>
    <t>="'CS0085-SGD','CS0086-SGD','CS0507-SGD','CS0507-SGD','CI1261-SGD','CS0085-SGD','CC0128-SGD','CS0222-SGD','CS0226-SGD','CS0653-SGD','CI1277-SGD'"</t>
  </si>
  <si>
    <t>Auto+Hide+HideSheet+Formulas=Sheet1,Sheet2+FormulasOnly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</si>
  <si>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</si>
  <si>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</si>
  <si>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</si>
  <si>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</si>
  <si>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</si>
  <si>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</si>
  <si>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</si>
  <si>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</si>
  <si>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</si>
  <si>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</si>
  <si>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</si>
  <si>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</si>
  <si>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</si>
  <si>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</si>
  <si>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</si>
  <si>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</si>
  <si>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</si>
  <si>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</si>
  <si>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</si>
  <si>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</si>
  <si>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</si>
  <si>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</si>
  <si>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</si>
  <si>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</si>
  <si>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</si>
  <si>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</si>
  <si>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</si>
  <si>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</si>
  <si>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</si>
  <si>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=SUM(N24-U24)</t>
  </si>
  <si>
    <t>=IFERROR(NF($E24,"ITEMCODE"),"-")</t>
  </si>
  <si>
    <t>=IFERROR(NF($E24,"ITEMNAME"),"-")</t>
  </si>
  <si>
    <t>=IFERROR(NF($E24,"MEMO"),"-")</t>
  </si>
  <si>
    <t>=IFERROR(NF($E24,"QUANTITY"),"-")</t>
  </si>
  <si>
    <t>=IFERROR(AC24/AA24,0)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</si>
  <si>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</si>
  <si>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</si>
  <si>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</si>
  <si>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</si>
  <si>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</si>
  <si>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</si>
  <si>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</si>
  <si>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</si>
  <si>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</si>
  <si>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</si>
  <si>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</si>
  <si>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</si>
  <si>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</si>
  <si>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</si>
  <si>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</si>
  <si>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</si>
  <si>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</si>
  <si>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</si>
  <si>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</si>
  <si>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</si>
  <si>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</si>
  <si>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</si>
  <si>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</si>
  <si>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</si>
  <si>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</si>
  <si>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=IFERROR(AB25/V25,0)</t>
  </si>
  <si>
    <t>=IFERROR(NF($E25,"LINETOTAL"),"-")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</si>
  <si>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</si>
  <si>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</si>
  <si>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</si>
  <si>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</si>
  <si>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</si>
  <si>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</si>
  <si>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</si>
  <si>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</si>
  <si>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</si>
  <si>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</si>
  <si>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</si>
  <si>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</si>
  <si>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</si>
  <si>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=IFERROR(NF($E26,"ADDRESS2"),"-")</t>
  </si>
  <si>
    <t>=IFERROR(NF($E26,"U_PODATE"),"-")</t>
  </si>
  <si>
    <t>=IFERROR(NF($E26,"U_PONO"),"-")</t>
  </si>
  <si>
    <t>=IFERROR(AB26/V26,0)</t>
  </si>
  <si>
    <t>=IFERROR(NF($E26,"LINETOTAL"),"-")</t>
  </si>
  <si>
    <t>=SUBTOTAL(9,AA24:AA27)</t>
  </si>
  <si>
    <t>=SUBTOTAL(9,AB24:AB27)</t>
  </si>
  <si>
    <t>Auto+Hide+Values+Formulas=Sheet3,Sheet4+FormulasOnly</t>
  </si>
  <si>
    <t>Auto</t>
  </si>
  <si>
    <t>Auto+Hide+HideSheet+Formulas=Sheet5,Sheet1,Sheet2</t>
  </si>
  <si>
    <t>Auto+Hide+HideSheet+Formulas=Sheet5,Sheet1,Sheet2+FormulasOnly</t>
  </si>
  <si>
    <t>Auto+Hide+Values+Formulas=Sheet6,Sheet3,Sheet4</t>
  </si>
  <si>
    <t>="""UICACS"","""",""SQL="",""2=DOCNUM"",""33038462"",""14=CUSTREF"",""4825200765"",""14=U_CUSTREF"",""4825200765"",""15=DOCDATE"",""1/4/2025"",""15=TAXDATE"",""1/4/2025"",""14=CARDCODE"",""CI1139-SGD"",""14=CARDNAME"",""NATIONAL HEART CENTRE OF SINGAPORE PTE LTD"",""14=ITEMCODE"",""MSEP2-27380"&amp;"GLP"",""14=ITEMNAME"",""MS OFFICE STANDARD 2024 SLNG LTSC"",""10=QUANTITY"",""1.000000"",""14=U_PONO"",""956134"",""15=U_PODATE"",""1/4/2025"",""10=U_TLINTCOS"",""0.000000"",""2=SLPCODE"",""132"",""14=SLPNAME"",""E0001-CS"",""14=MEMO"",""WENDY KUM CHIOU SZE"",""14=CONTACTNAME"",""E-INVOICE"""&amp;",""10=LINETOTAL"",""448.470000"",""14=U_ENR"","""",""14=U_MSENR"",""S7138270"",""14=U_MSPCN"",""A8AA53F5"",""14=ADDRESS2"",""HUAN YI_x000D_NATIONAL HEART CENTRE 5 HOSPITAL DRIVE, NHRIS LEVEL 9 SINGAPORE 169609_x000D_HUAN YI_x000D_TEL: 6704 2247_x000D_FAX: _x000D_EMAIL: lau.huan.yi@nhcs.com.sg"""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</si>
  <si>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</si>
  <si>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</si>
  <si>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</si>
  <si>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</si>
  <si>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</si>
  <si>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=SUM(N25-U25)</t>
  </si>
  <si>
    <t>=IFERROR(AC25/AA25,0)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</si>
  <si>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</si>
  <si>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</si>
  <si>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</si>
  <si>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</si>
  <si>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</si>
  <si>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</si>
  <si>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</si>
  <si>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="""UICACS"","""",""SQL="",""2=DOCNUM"",""33038496"",""14=CUSTREF"",""8725004052"",""14=U_CUSTREF"",""8725004052"",""15=DOCDATE"",""3/4/2025"",""15=TAXDATE"",""3/4/2025"",""14=CARDCODE"",""CI1232-SGD"",""14=CARDNAME"",""SINGAPORE GENERAL HOSPITAL PTE LTD"",""14=ITEMCODE"",""MS9EA-00267GLP"",""14"&amp;"=ITEMNAME"",""MS WIN SERVER DC CORE SLNG LSA 2L"",""10=QUANTITY"",""96.000000"",""14=U_PONO"",""955919"",""15=U_PODATE"",""20/3/2025"",""10=U_TLINTCOS"",""0.000000"",""2=SLPCODE"",""132"",""14=SLPNAME"",""E0001-CS"",""14=MEMO"",""WENDY KUM CHIOU SZE"",""14=CONTACTNAME"",""FINANCE DEPARTME"&amp;"NT"",""10=LINETOTAL"",""117420.480000"",""14=U_ENR"","""",""14=U_MSENR"",""S7138270"",""14=U_MSPCN"",""8E125DFC"",""14=ADDRESS2"",""TAN CHUN HOOI/SEAH WAIH KHUEN_x000D_SINGAPORE GENERAL HOSPITAL PTE LTD 20 COLLEGE ROAD, THE ACADEMIA LEVEL 3, SERVER ROOM SINGAPORE 169856_x000D_TAN CHUN H"&amp;"OOI/SEAH WAIH KHUEN_x000D_TEL: 84288255_x000D_FAX: _x000D_EMAIL: tan.chun.hooi@synapxe.sg"""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</si>
  <si>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</si>
  <si>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</si>
  <si>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</si>
  <si>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</si>
  <si>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</si>
  <si>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=SUM(N26-U26)</t>
  </si>
  <si>
    <t>=IFERROR(AC26/AA26,0)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</si>
  <si>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</si>
  <si>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</si>
  <si>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</si>
  <si>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</si>
  <si>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</si>
  <si>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</si>
  <si>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</si>
  <si>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</si>
  <si>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="""UICACS"","""",""SQL="",""2=DOCNUM"",""33038517"",""14=CUSTREF"",""8725004560"",""14=U_CUSTREF"",""8725004560"",""15=DOCDATE"",""3/4/2025"",""15=TAXDATE"",""3/4/2025"",""14=CARDCODE"",""CI1232-SGD"",""14=CARDNAME"",""SINGAPORE GENERAL HOSPITAL PTE LTD"",""14=ITEMCODE"",""MS9EA-00267GLP"",""14"&amp;"=ITEMNAME"",""MS WIN SERVER DC CORE SLNG LSA 2L"",""10=QUANTITY"",""1.000000"",""14=U_PONO"",""956190"",""15=U_PODATE"",""3/4/2025"",""10=U_TLINTCOS"",""0.000000"",""2=SLPCODE"",""132"",""14=SLPNAME"",""E0001-CS"",""14=MEMO"",""WENDY KUM CHIOU SZE"",""14=CONTACTNAME"",""FINANCE DEPARTMENT"&amp;""",""10=LINETOTAL"",""1248.080000"",""14=U_ENR"","""",""14=U_MSENR"",""S7138270"",""14=U_MSPCN"",""8E125DFC"",""14=ADDRESS2"",""CAROL TAN / ANWAR/ ANG CHENG HIAN_x000D_SINGAPORE GENERAL HOSPITAL 20 COLLEGE ROAD, ACADEMIA, DIGNOSTICS TOWER, PATHOLOGY ADMIN OFFICE SINGAPORE 169856_x000D_C"&amp;"AROL TAN / ANWAR/ ANG CHENG HIAN_x000D_TEL: _x000D_FAX: _x000D_EMAIL: feroz.anwar.batcha@synapxe.sg"""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</si>
  <si>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</si>
  <si>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</si>
  <si>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</si>
  <si>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</si>
  <si>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</si>
  <si>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</si>
  <si>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</si>
  <si>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</si>
  <si>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</si>
  <si>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</si>
  <si>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</si>
  <si>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=SUM(N27-U27)</t>
  </si>
  <si>
    <t>=IFERROR(NF($E27,"ITEMCODE"),"-")</t>
  </si>
  <si>
    <t>=IFERROR(NF($E27,"ITEMNAME"),"-")</t>
  </si>
  <si>
    <t>=IFERROR(NF($E27,"MEMO"),"-")</t>
  </si>
  <si>
    <t>=IFERROR(NF($E27,"QUANTITY"),"-")</t>
  </si>
  <si>
    <t>=IFERROR(AC27/AA27,0)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</si>
  <si>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</si>
  <si>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</si>
  <si>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</si>
  <si>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</si>
  <si>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</si>
  <si>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</si>
  <si>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</si>
  <si>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</si>
  <si>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</si>
  <si>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</si>
  <si>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="""UICACS"","""",""SQL="",""2=DOCNUM"",""33038517"",""14=CUSTREF"",""8725004560"",""14=U_CUSTREF"",""8725004560"",""15=DOCDATE"",""3/4/2025"",""15=TAXDATE"",""3/4/2025"",""14=CARDCODE"",""CI1232-SGD"",""14=CARDNAME"",""SINGAPORE GENERAL HOSPITAL PTE LTD"",""14=ITEMCODE"",""MS9EA-00267GLP"",""14"&amp;"=ITEMNAME"",""MS WIN SERVER DC CORE SLNG LSA 2L"",""10=QUANTITY"",""7.000000"",""14=U_PONO"",""956190"",""15=U_PODATE"",""3/4/2025"",""10=U_TLINTCOS"",""0.000000"",""2=SLPCODE"",""132"",""14=SLPNAME"",""E0001-CS"",""14=MEMO"",""WENDY KUM CHIOU SZE"",""14=CONTACTNAME"",""FINANCE DEPARTMENT"&amp;""",""10=LINETOTAL"",""8736.630000"",""14=U_ENR"","""",""14=U_MSENR"",""S7138270"",""14=U_MSPCN"",""8E125DFC"",""14=ADDRESS2"",""CAROL TAN / ANWAR/ ANG CHENG HIAN_x000D_SINGAPORE GENERAL HOSPITAL 20 COLLEGE ROAD, ACADEMIA, DIGNOSTICS TOWER, PATHOLOGY ADMIN OFFICE SINGAPORE 169856_x000D_C"&amp;"AROL TAN / ANWAR/ ANG CHENG HIAN_x000D_TEL: _x000D_FAX: _x000D_EMAIL: feroz.anwar.batcha@synapxe.sg"""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</si>
  <si>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</si>
  <si>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</si>
  <si>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</si>
  <si>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</si>
  <si>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</si>
  <si>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</si>
  <si>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</si>
  <si>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</si>
  <si>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</si>
  <si>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</si>
  <si>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</si>
  <si>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=SUM(N28-U28)</t>
  </si>
  <si>
    <t>=IFERROR(NF($E28,"ITEMCODE"),"-")</t>
  </si>
  <si>
    <t>=IFERROR(NF($E28,"ITEMNAME"),"-")</t>
  </si>
  <si>
    <t>=IFERROR(NF($E28,"MEMO"),"-")</t>
  </si>
  <si>
    <t>=IFERROR(NF($E28,"QUANTITY"),"-")</t>
  </si>
  <si>
    <t>=IFERROR(AC28/AA28,0)</t>
  </si>
  <si>
    <t>=IFERROR(NF($E28,"LINETOTAL"),"-")</t>
  </si>
  <si>
    <t>=IFERROR(NF($E28,"U_BPurDisc"),"-")</t>
  </si>
  <si>
    <t>=IFERROR(NF($E28,"ADDRESS2"),"-")</t>
  </si>
  <si>
    <t>=IFERROR(NF($E28,"ItemCode"),"-")</t>
  </si>
  <si>
    <t>=IFERROR(NF($E28,"ItemName"),"-")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</si>
  <si>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</si>
  <si>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</si>
  <si>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</si>
  <si>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</si>
  <si>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</si>
  <si>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="""UICACS"","""",""SQL="",""2=DOCNUM"",""33038523"",""14=CUSTREF"",""4640001918"",""14=U_CUSTREF"",""4640001918"",""15=DOCDATE"",""4/4/2025"",""15=TAXDATE"",""4/4/2025"",""14=CARDCODE"",""CN0015-SGD"",""14=CARDNAME"",""NATIONAL CANCER CENTRE SINGAPORE PTE LTD"",""14=ITEMCODE"",""MSEP2-27380GL"&amp;"P"",""14=ITEMNAME"",""MS OFFICE STANDARD 2024 SLNG LTSC"",""10=QUANTITY"",""1.000000"",""14=U_PONO"",""956208"",""15=U_PODATE"",""4/4/2025"",""10=U_TLINTCOS"",""0.000000"",""2=SLPCODE"",""132"",""14=SLPNAME"",""E0001-CS"",""14=MEMO"",""WENDY KUM CHIOU SZE"",""14=CONTACTNAME"",""RESEARCH PRO"&amp;"CUREMENT"",""10=LINETOTAL"",""453.830000"",""14=U_ENR"","""",""14=U_MSENR"",""S7138270"",""14=U_MSPCN"",""A89BD94A"",""14=ADDRESS2"",""NUR AFIFAH_x000D_NATIONAL CANCER CENTRE SINGAPORE PTE LTD 30 HOSPITAL BOULEVARD #20-1, RESEARCH STORE SINGAPORE 168583_x000D_NUR AFIFAH_x000D_TEL: 63065316_x000D_FA"&amp;"X: _x000D_EMAIL: nur.afifah.ibrahim@nccs.com.sg"""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</si>
  <si>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</si>
  <si>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</si>
  <si>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</si>
  <si>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</si>
  <si>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</si>
  <si>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</si>
  <si>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</si>
  <si>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</si>
  <si>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</si>
  <si>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</si>
  <si>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</si>
  <si>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=SUM(N29-U29)</t>
  </si>
  <si>
    <t>=IFERROR(NF($E29,"ITEMCODE"),"-")</t>
  </si>
  <si>
    <t>=IFERROR(NF($E29,"ITEMNAME"),"-")</t>
  </si>
  <si>
    <t>=IFERROR(NF($E29,"MEMO"),"-")</t>
  </si>
  <si>
    <t>=IFERROR(NF($E29,"QUANTITY"),"-")</t>
  </si>
  <si>
    <t>=IFERROR(AC29/AA29,0)</t>
  </si>
  <si>
    <t>=IFERROR(NF($E29,"LINETOTAL"),"-")</t>
  </si>
  <si>
    <t>=IFERROR(NF($E29,"U_BPurDisc"),"-")</t>
  </si>
  <si>
    <t>=IFERROR(NF($E29,"ADDRESS2"),"-")</t>
  </si>
  <si>
    <t>=IFERROR(NF($E29,"ItemCode"),"-")</t>
  </si>
  <si>
    <t>=IFERROR(NF($E29,"ItemName"),"-")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</si>
  <si>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</si>
  <si>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</si>
  <si>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</si>
  <si>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</si>
  <si>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</si>
  <si>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="""UICACS"","""",""SQL="",""2=DOCNUM"",""33038576"",""14=CUSTREF"",""4500019755"",""14=U_CUSTREF"",""4500019755"",""15=DOCDATE"",""14/4/2025"",""15=TAXDATE"",""14/4/2025"",""14=CARDCODE"",""CS0200-SGD"",""14=CARDNAME"",""ST ANDREW'S COMMUNITY HOSPITAL"",""14=ITEMCODE"",""MSEP2-24970GLP"",""14=I"&amp;"TEMNAME"",""MS WIN SERVER STANDARD CORE 2025 SLNG 2L"",""10=QUANTITY"",""16.000000"",""14=U_PONO"",""956382"",""15=U_PODATE"",""10/4/2025"",""10=U_TLINTCOS"",""0.000000"",""2=SLPCODE"",""149"",""14=SLPNAME"",""E0001-LMY"",""14=MEMO"",""KEVIN LIN MING YAO"",""14=CONTACTNAME"",""FINANCE DEP"&amp;"ARTMENT"",""10=LINETOTAL"",""2153.280000"",""14=U_ENR"","""",""14=U_MSENR"",""S7138270"",""14=U_MSPCN"",""B29CE2A2"",""14=ADDRESS2"",""ST ANDREW'S COMMUNITY HOSPITAL_x000D_8 SIMEI STREET 3 LEVEL 3, ADMINISTRATION  SINGAPORE 529895_x000D_KEVIN HAN_x000D_TEL: 6586 8117_x000D_FAX: _x000D_EMAIL: kevin_han@sa"&amp;"ch.org.sg"""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</si>
  <si>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</si>
  <si>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</si>
  <si>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</si>
  <si>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</si>
  <si>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</si>
  <si>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</si>
  <si>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</si>
  <si>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</si>
  <si>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</si>
  <si>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</si>
  <si>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</si>
  <si>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=SUM(N30-U30)</t>
  </si>
  <si>
    <t>=IFERROR(NF($E30,"ITEMCODE"),"-")</t>
  </si>
  <si>
    <t>=IFERROR(NF($E30,"ITEMNAME"),"-")</t>
  </si>
  <si>
    <t>=IFERROR(NF($E30,"MEMO"),"-")</t>
  </si>
  <si>
    <t>=IFERROR(NF($E30,"QUANTITY"),"-")</t>
  </si>
  <si>
    <t>=IFERROR(AC30/AA30,0)</t>
  </si>
  <si>
    <t>=IFERROR(NF($E30,"LINETOTAL"),"-")</t>
  </si>
  <si>
    <t>=IFERROR(NF($E30,"U_BPurDisc"),"-")</t>
  </si>
  <si>
    <t>=IFERROR(NF($E30,"ADDRESS2"),"-")</t>
  </si>
  <si>
    <t>=IFERROR(NF($E30,"ItemCode"),"-")</t>
  </si>
  <si>
    <t>=IFERROR(NF($E30,"ItemName"),"-")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</si>
  <si>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</si>
  <si>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</si>
  <si>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</si>
  <si>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</si>
  <si>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</si>
  <si>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="""UICACS"","""",""SQL="",""2=DOCNUM"",""33038576"",""14=CUSTREF"",""4500019755"",""14=U_CUSTREF"",""4500019755"",""15=DOCDATE"",""14/4/2025"",""15=TAXDATE"",""14/4/2025"",""14=CARDCODE"",""CS0200-SGD"",""14=CARDNAME"",""ST ANDREW'S COMMUNITY HOSPITAL"",""14=ITEMCODE"",""MSEP2-25016GLP"",""14=I"&amp;"TEMNAME"",""MS WIN SERVER DC CORE 2025 SLNG 2L"",""10=QUANTITY"",""96.000000"",""14=U_PONO"",""956382"",""15=U_PODATE"",""10/4/2025"",""10=U_TLINTCOS"",""0.000000"",""2=SLPCODE"",""149"",""14=SLPNAME"",""E0001-LMY"",""14=MEMO"",""KEVIN LIN MING YAO"",""14=CONTACTNAME"",""FINANCE DEPARTMEN"&amp;"T"",""10=LINETOTAL"",""73771.200000"",""14=U_ENR"","""",""14=U_MSENR"",""S7138270"",""14=U_MSPCN"",""B29CE2A2"",""14=ADDRESS2"",""ST ANDREW'S COMMUNITY HOSPITAL_x000D_8 SIMEI STREET 3 LEVEL 3, ADMINISTRATION  SINGAPORE 529895_x000D_KEVIN HAN_x000D_TEL: 6586 8117_x000D_FAX: _x000D_EMAIL: kevin_han@sach.or"&amp;"g.sg"""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</si>
  <si>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</si>
  <si>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</si>
  <si>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</si>
  <si>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</si>
  <si>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</si>
  <si>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</si>
  <si>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</si>
  <si>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</si>
  <si>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</si>
  <si>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</si>
  <si>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</si>
  <si>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=SUM(N31-U31)</t>
  </si>
  <si>
    <t>=IFERROR(NF($E31,"ITEMCODE"),"-")</t>
  </si>
  <si>
    <t>=IFERROR(NF($E31,"ITEMNAME"),"-")</t>
  </si>
  <si>
    <t>=IFERROR(NF($E31,"MEMO"),"-")</t>
  </si>
  <si>
    <t>=IFERROR(NF($E31,"QUANTITY"),"-")</t>
  </si>
  <si>
    <t>=IFERROR(AC31/AA31,0)</t>
  </si>
  <si>
    <t>=IFERROR(NF($E31,"LINETOTAL"),"-")</t>
  </si>
  <si>
    <t>=IFERROR(NF($E31,"U_BPurDisc"),"-")</t>
  </si>
  <si>
    <t>=IFERROR(NF($E31,"ADDRESS2"),"-")</t>
  </si>
  <si>
    <t>=IFERROR(NF($E31,"ItemCode"),"-")</t>
  </si>
  <si>
    <t>=IFERROR(NF($E31,"ItemName"),"-")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</si>
  <si>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</si>
  <si>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</si>
  <si>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</si>
  <si>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</si>
  <si>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</si>
  <si>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="""UICACS"","""",""SQL="",""2=DOCNUM"",""33038629"",""14=CUSTREF"",""8725005266"",""14=U_CUSTREF"",""8725005266"",""15=DOCDATE"",""17/4/2025"",""15=TAXDATE"",""17/4/2025"",""14=CARDCODE"",""CI1232-SGD"",""14=CARDNAME"",""SINGAPORE GENERAL HOSPITAL PTE LTD"",""14=ITEMCODE"",""MS7JQ-01757GLP"","""&amp;"14=ITEMNAME"",""MS SQL SERVER ENTERPRISE CORE 2022 SLNG 2L"",""10=QUANTITY"",""5.000000"",""14=U_PONO"",""956456"",""15=U_PODATE"",""15/4/2025"",""10=U_TLINTCOS"",""0.000000"",""2=SLPCODE"",""132"",""14=SLPNAME"",""E0001-CS"",""14=MEMO"",""WENDY KUM CHIOU SZE"",""14=CONTACTNAME"",""FINANC"&amp;"E DEPARTMENT"",""10=LINETOTAL"",""67430.400000"",""14=U_ENR"","""",""14=U_MSENR"",""S7138270"",""14=U_MSPCN"",""8E125DFC"",""14=ADDRESS2"",""AMELIA TAY JIA LI_x000D_SINGAPORE GENERAL HOSPITAL PTE LTD SSU@SGH BLK 3 BASEMENT 1  SINGAPORE 168582_x000D_AMELIA TAY JIA LI_x000D_TEL: _x000D_FAX: _x000D_EMAIL: a"&amp;"melia.tay.j.l@sgh.com.sg"""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</si>
  <si>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</si>
  <si>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</si>
  <si>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</si>
  <si>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</si>
  <si>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</si>
  <si>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</si>
  <si>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</si>
  <si>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</si>
  <si>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</si>
  <si>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</si>
  <si>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</si>
  <si>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=SUM(N32-U32)</t>
  </si>
  <si>
    <t>=IFERROR(NF($E32,"ITEMCODE"),"-")</t>
  </si>
  <si>
    <t>=IFERROR(NF($E32,"ITEMNAME"),"-")</t>
  </si>
  <si>
    <t>=IFERROR(NF($E32,"MEMO"),"-")</t>
  </si>
  <si>
    <t>=IFERROR(NF($E32,"QUANTITY"),"-")</t>
  </si>
  <si>
    <t>=IFERROR(AC32/AA32,0)</t>
  </si>
  <si>
    <t>=IFERROR(NF($E32,"LINETOTAL"),"-")</t>
  </si>
  <si>
    <t>=IFERROR(NF($E32,"U_BPurDisc"),"-")</t>
  </si>
  <si>
    <t>=IFERROR(NF($E32,"ADDRESS2"),"-")</t>
  </si>
  <si>
    <t>=IFERROR(NF($E32,"ItemCode"),"-")</t>
  </si>
  <si>
    <t>=IFERROR(NF($E32,"ItemName"),"-")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</si>
  <si>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</si>
  <si>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</si>
  <si>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</si>
  <si>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</si>
  <si>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</si>
  <si>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="""UICACS"","""",""SQL="",""2=DOCNUM"",""33038629"",""14=CUSTREF"",""8725005266"",""14=U_CUSTREF"",""8725005266"",""15=DOCDATE"",""17/4/2025"",""15=TAXDATE"",""17/4/2025"",""14=CARDCODE"",""CI1232-SGD"",""14=CARDNAME"",""SINGAPORE GENERAL HOSPITAL PTE LTD"",""14=ITEMCODE"",""MS7JQ-00353GLP"","""&amp;"14=ITEMNAME"",""MS SQL SERVER ENTERPRISE CORE SLNG LSA 2L"",""10=QUANTITY"",""1.000000"",""14=U_PONO"",""956456"",""15=U_PODATE"",""15/4/2025"",""10=U_TLINTCOS"",""0.000000"",""2=SLPCODE"",""132"",""14=SLPNAME"",""E0001-CS"",""14=MEMO"",""WENDY KUM CHIOU SZE"",""14=CONTACTNAME"",""FINANCE"&amp;" DEPARTMENT"",""10=LINETOTAL"",""21916.290000"",""14=U_ENR"","""",""14=U_MSENR"",""S7138270"",""14=U_MSPCN"",""8E125DFC"",""14=ADDRESS2"",""AMELIA TAY JIA LI_x000D_SINGAPORE GENERAL HOSPITAL PTE LTD SSU@SGH BLK 3 BASEMENT 1  SINGAPORE 168582_x000D_AMELIA TAY JIA LI_x000D_TEL: _x000D_FAX: _x000D_EMAIL: am"&amp;"elia.tay.j.l@sgh.com.sg"""</t>
  </si>
  <si>
    <t>=MONTH(N33)</t>
  </si>
  <si>
    <t>=YEAR(N33)</t>
  </si>
  <si>
    <t>=IFERROR(NF($E33,"DOCNUM"),"-")</t>
  </si>
  <si>
    <t>=IFERROR(NF($E33,"DOCDATE"),"-")</t>
  </si>
  <si>
    <t>=IFERROR(NF($E33,"U_MSENR"),"-")</t>
  </si>
  <si>
    <t>=IFERROR(NF($E33,"U_MSPCN"),"-")</t>
  </si>
  <si>
    <t>=IFERROR(NF($E33,"CARDCODE"),"-")</t>
  </si>
  <si>
    <t>=IFERROR(NF($E33,"CARDNAME"),"-")</t>
  </si>
  <si>
    <t>=IFERROR(NF($E33,"U_CUSTREF"),"-")</t>
  </si>
  <si>
    <t>=IFERROR(NF($E33,"U_PODate"),"-")</t>
  </si>
  <si>
    <t>=IFERROR(NF($E33,"DOCdate"),"-")</t>
  </si>
  <si>
    <t>=SUM(N33-U33)</t>
  </si>
  <si>
    <t>=IFERROR(NF($E33,"ITEMCODE"),"-")</t>
  </si>
  <si>
    <t>=IFERROR(NF($E33,"ITEMNAME"),"-")</t>
  </si>
  <si>
    <t>=IFERROR(NF($E33,"MEMO"),"-")</t>
  </si>
  <si>
    <t>=IFERROR(NF($E33,"QUANTITY"),"-")</t>
  </si>
  <si>
    <t>=IFERROR(AC33/AA33,0)</t>
  </si>
  <si>
    <t>=IFERROR(NF($E33,"LINETOTAL"),"-")</t>
  </si>
  <si>
    <t>=IFERROR(NF($E33,"U_BPurDisc"),"-")</t>
  </si>
  <si>
    <t>=IFERROR(NF($E33,"ADDRESS2"),"-")</t>
  </si>
  <si>
    <t>=IFERROR(NF($E33,"ItemCode"),"-")</t>
  </si>
  <si>
    <t>=IFERROR(NF($E33,"ItemName"),"-")</t>
  </si>
  <si>
    <t>=IFERROR(NF($E33,"U_SWSub"),"-")</t>
  </si>
  <si>
    <t>=IFERROR(NF($E33,"U_LicComDt"),"-")</t>
  </si>
  <si>
    <t>=IFERROR(NF($E33,"U_LicEndDt"),"-")</t>
  </si>
  <si>
    <t>=IFERROR(NF($E33,"Comments"),"-")</t>
  </si>
  <si>
    <t>=IF(K34="","Hide","Show")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</si>
  <si>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</si>
  <si>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</si>
  <si>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</si>
  <si>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</si>
  <si>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</si>
  <si>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</si>
  <si>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</si>
  <si>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</si>
  <si>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</si>
  <si>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</si>
  <si>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</si>
  <si>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=IFERROR(NF($E34,"ADDRESS2"),"-")</t>
  </si>
  <si>
    <t>=IFERROR(NF($E34,"U_PODATE"),"-")</t>
  </si>
  <si>
    <t>=IFERROR(NF($E34,"U_PONO"),"-")</t>
  </si>
  <si>
    <t>=IFERROR(AB34/V34,0)</t>
  </si>
  <si>
    <t>=IFERROR(NF($E34,"LINETOTAL"),"-")</t>
  </si>
  <si>
    <t>=IF(K35="","Hide","Show")</t>
  </si>
  <si>
    <t>=IFERROR(NF($E35,"DOCNUM"),"-")</t>
  </si>
  <si>
    <t>=IFERROR(NF($E35,"DOCDATE"),"-")</t>
  </si>
  <si>
    <t>=IFERROR(NF($E35,"U_MSENR"),"-")</t>
  </si>
  <si>
    <t>=IFERROR(NF($E35,"CARDCODE"),"-")</t>
  </si>
  <si>
    <t>=IFERROR(NF($E35,"CARDNAME"),"-")</t>
  </si>
  <si>
    <t>=IFERROR(NF($E35,"ITEMCODE"),"-")</t>
  </si>
  <si>
    <t>=IFERROR(NF($E35,"U_CUSTREF"),"-")</t>
  </si>
  <si>
    <t>=IFERROR(NF($E35,"ITEMNAME"),"-")</t>
  </si>
  <si>
    <t>=IFERROR(NF($E35,"MEMO"),"-")</t>
  </si>
  <si>
    <t>=IFERROR(NF($E35,"QUANTITY"),"-")</t>
  </si>
  <si>
    <t>=IFERROR(NF($E35,"CONTACTNAME"),"-")</t>
  </si>
  <si>
    <t>=IFERROR(NF($E35,"ADDRESS2"),"-")</t>
  </si>
  <si>
    <t>=IFERROR(NF($E35,"U_PODATE"),"-")</t>
  </si>
  <si>
    <t>=IFERROR(NF($E35,"U_PONO"),"-")</t>
  </si>
  <si>
    <t>=IFERROR(AB35/V35,0)</t>
  </si>
  <si>
    <t>=IFERROR(NF($E35,"LINETOTAL"),"-")</t>
  </si>
  <si>
    <t>=SUBTOTAL(9,AA24:AA36)</t>
  </si>
  <si>
    <t>=SUBTOTAL(9,AB24:AB36)</t>
  </si>
  <si>
    <t>Auto+Hide+Values+Formulas=Sheet6,Sheet3,Sheet4+FormulasOnly</t>
  </si>
  <si>
    <t>31.10.2027</t>
  </si>
  <si>
    <t>01.05.2025</t>
  </si>
  <si>
    <t>LICENSE WITH SA</t>
  </si>
  <si>
    <t>PO received in Mar 2025 but usage only starts 1 Apr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</si>
</sst>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sz val="11"/>
      <color theme="1"/>
      <name val="Calibri"/>
      <family val="2"/>
      <scheme val="minor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u/>
      <sz val="12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0" borderId="0" xfId="0" applyFont="1" applyAlignment="1">
      <alignment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166" fontId="0" fillId="0" borderId="0" xfId="0" applyNumberFormat="1" applyAlignment="1">
      <alignment horizontal="center" vertical="top"/>
    </xf>
    <xf numFmtId="40" fontId="0" fillId="0" borderId="0" xfId="2" applyNumberFormat="1" applyFont="1" applyAlignment="1">
      <alignment vertical="top"/>
    </xf>
    <xf numFmtId="0" fontId="6" fillId="7" borderId="0" xfId="0" applyFont="1" applyFill="1" applyAlignment="1">
      <alignment vertical="top"/>
    </xf>
    <xf numFmtId="0" fontId="7" fillId="3" borderId="0" xfId="0" applyFont="1" applyFill="1" applyAlignment="1">
      <alignment horizontal="center" vertical="center"/>
    </xf>
    <xf numFmtId="167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14" fontId="7" fillId="3" borderId="0" xfId="0" applyNumberFormat="1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40" fontId="7" fillId="3" borderId="0" xfId="0" applyNumberFormat="1" applyFont="1" applyFill="1" applyAlignment="1">
      <alignment horizontal="center" vertical="center"/>
    </xf>
    <xf numFmtId="165" fontId="7" fillId="3" borderId="0" xfId="2" applyNumberFormat="1" applyFont="1" applyFill="1" applyAlignment="1">
      <alignment horizontal="left" vertical="center"/>
    </xf>
    <xf numFmtId="165" fontId="7" fillId="3" borderId="0" xfId="2" applyNumberFormat="1" applyFont="1" applyFill="1" applyAlignment="1">
      <alignment horizontal="left" vertical="center" wrapText="1"/>
    </xf>
    <xf numFmtId="165" fontId="7" fillId="3" borderId="0" xfId="2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8" fillId="0" borderId="0" xfId="0" applyFont="1" applyAlignment="1">
      <alignment vertical="top"/>
    </xf>
    <xf numFmtId="40" fontId="8" fillId="0" borderId="0" xfId="2" applyNumberFormat="1" applyFont="1" applyAlignment="1">
      <alignment vertical="top"/>
    </xf>
    <xf numFmtId="0" fontId="9" fillId="0" borderId="0" xfId="0" applyFont="1" applyAlignment="1">
      <alignment horizontal="left" vertical="top"/>
    </xf>
    <xf numFmtId="40" fontId="0" fillId="0" borderId="0" xfId="2" applyNumberFormat="1" applyFont="1" applyAlignment="1">
      <alignment horizontal="center" vertical="top"/>
    </xf>
    <xf numFmtId="0" fontId="10" fillId="0" borderId="0" xfId="0" applyFont="1"/>
    <xf numFmtId="0" fontId="4" fillId="0" borderId="0" xfId="1" applyFont="1" applyAlignment="1">
      <alignment horizontal="center" vertical="top"/>
    </xf>
    <xf numFmtId="0" fontId="0" fillId="0" borderId="0" xfId="0" quotePrefix="1"/>
    <xf numFmtId="165" fontId="0" fillId="2" borderId="0" xfId="0" applyNumberFormat="1" applyFill="1" applyAlignment="1">
      <alignment vertical="top"/>
    </xf>
    <xf numFmtId="0" fontId="7" fillId="3" borderId="0" xfId="0" applyFont="1" applyFill="1" applyAlignment="1">
      <alignment horizontal="left" vertical="center" wrapText="1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opLeftCell="B2" zoomScale="106" zoomScaleNormal="106" workbookViewId="0">
      <selection activeCell="D14" sqref="D14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5" s="1" customFormat="1" hidden="1">
      <c r="A1" s="1" t="s">
        <v>174</v>
      </c>
      <c r="B1" s="1" t="s">
        <v>1</v>
      </c>
      <c r="C1" s="2" t="s">
        <v>2</v>
      </c>
      <c r="D1" s="1" t="s">
        <v>3</v>
      </c>
    </row>
    <row r="2" spans="1:5">
      <c r="B2" s="4" t="s">
        <v>18</v>
      </c>
      <c r="C2" s="4" t="s">
        <v>4</v>
      </c>
    </row>
    <row r="3" spans="1:5">
      <c r="A3" s="1" t="s">
        <v>0</v>
      </c>
      <c r="B3" s="4" t="s">
        <v>5</v>
      </c>
      <c r="C3" s="5" t="str">
        <f>"01/04/2025"</f>
        <v>01/04/2025</v>
      </c>
    </row>
    <row r="4" spans="1:5">
      <c r="A4" s="1" t="s">
        <v>0</v>
      </c>
      <c r="B4" s="4" t="s">
        <v>6</v>
      </c>
      <c r="C4" s="5" t="str">
        <f>"30/04/2025"</f>
        <v>30/04/2025</v>
      </c>
    </row>
    <row r="5" spans="1:5">
      <c r="A5" s="1" t="s">
        <v>0</v>
      </c>
      <c r="B5" s="4" t="s">
        <v>25</v>
      </c>
      <c r="C5" s="4" t="str">
        <f>"*"</f>
        <v>*</v>
      </c>
      <c r="D5" s="4" t="str">
        <f>"Lookup"</f>
        <v>Lookup</v>
      </c>
      <c r="E5" s="4" t="s">
        <v>51</v>
      </c>
    </row>
    <row r="8" spans="1:5">
      <c r="A8" s="1" t="s">
        <v>8</v>
      </c>
      <c r="C8" s="3" t="str">
        <f>TEXT($C$3,"dd/MMM/yyyy") &amp; ".." &amp; TEXT($C$4,"dd/MMM/yyyy")</f>
        <v>01/Apr/2025..30/Apr/2025</v>
      </c>
    </row>
    <row r="9" spans="1:5">
      <c r="A9" s="1" t="s">
        <v>9</v>
      </c>
      <c r="C9" s="3" t="str">
        <f>TEXT($C$3,"yyyyMMdd") &amp; ".." &amp; TEXT($C$4,"yyyyMMdd")</f>
        <v>20250401..20250430</v>
      </c>
    </row>
    <row r="10" spans="1:5">
      <c r="B10" s="4" t="s">
        <v>37</v>
      </c>
      <c r="C10" s="6" t="str">
        <f>"'S7138270','7138270' "</f>
        <v xml:space="preserve">'S7138270','7138270' </v>
      </c>
    </row>
    <row r="11" spans="1:5">
      <c r="B11" s="4" t="s">
        <v>35</v>
      </c>
      <c r="C11" s="6" t="str">
        <f>"'S7138270','7138270' "</f>
        <v xml:space="preserve">'S7138270','7138270' </v>
      </c>
    </row>
    <row r="12" spans="1:5">
      <c r="B12" s="4" t="s">
        <v>38</v>
      </c>
      <c r="C12" s="6" t="str">
        <f>"'MS'"</f>
        <v>'MS'</v>
      </c>
    </row>
    <row r="13" spans="1:5">
      <c r="B13" s="4" t="s">
        <v>39</v>
      </c>
      <c r="C13" s="4" t="str">
        <f>$D$13&amp;$D$14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  <c r="D13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14" spans="1:5">
      <c r="D14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  <row r="15" spans="1:5">
      <c r="D15" s="4" t="s">
        <v>52</v>
      </c>
    </row>
    <row r="28" spans="3:6">
      <c r="C28" s="32" t="s">
        <v>53</v>
      </c>
      <c r="D28" s="32" t="s">
        <v>52</v>
      </c>
    </row>
    <row r="29" spans="3:6">
      <c r="D29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30" spans="3:6">
      <c r="D30" s="4" t="str">
        <f>"'CS0085-SGD','CS0086-SGD','CS0507-SGD','CS0507-SGD','CI1261-SGD','CS0085-SGD','CC0128-SGD','CS0222-SGD','CS0226-SGD','CS0653-SGD','CI1277-SGD'"</f>
        <v>'CS0085-SGD','CS0086-SGD','CS0507-SGD','CS0507-SGD','CI1261-SGD','CS0085-SGD','CC0128-SGD','CS0222-SGD','CS0226-SGD','CS0653-SGD','CI1277-SGD'</v>
      </c>
    </row>
    <row r="32" spans="3:6">
      <c r="F32" s="14"/>
    </row>
    <row r="33" spans="7:7">
      <c r="G33" s="14"/>
    </row>
  </sheetData>
  <pageMargins left="0.7" right="0.7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0"/>
  <sheetViews>
    <sheetView tabSelected="1" topLeftCell="T19" zoomScale="92" zoomScaleNormal="92" workbookViewId="0">
      <selection activeCell="AO26" sqref="AO26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28515625" style="4" bestFit="1" customWidth="1"/>
    <col min="12" max="12" width="6.28515625" style="19" bestFit="1" customWidth="1"/>
    <col min="13" max="13" width="10.85546875" style="16" bestFit="1" customWidth="1"/>
    <col min="14" max="14" width="11.28515625" style="4" bestFit="1" customWidth="1"/>
    <col min="15" max="15" width="16.85546875" style="4" bestFit="1" customWidth="1"/>
    <col min="16" max="16" width="10" style="4" bestFit="1" customWidth="1"/>
    <col min="17" max="17" width="8.85546875" style="3" bestFit="1" customWidth="1"/>
    <col min="18" max="18" width="12" style="4" bestFit="1" customWidth="1"/>
    <col min="19" max="19" width="14" style="4" customWidth="1"/>
    <col min="20" max="20" width="14.7109375" style="4" bestFit="1" customWidth="1"/>
    <col min="21" max="21" width="10.5703125" style="4" bestFit="1" customWidth="1"/>
    <col min="22" max="22" width="10.28515625" style="17" bestFit="1" customWidth="1"/>
    <col min="23" max="23" width="8.5703125" style="4" bestFit="1" customWidth="1"/>
    <col min="24" max="24" width="23" style="4" hidden="1" customWidth="1"/>
    <col min="25" max="25" width="10.7109375" style="4" hidden="1" customWidth="1"/>
    <col min="26" max="26" width="23.140625" style="4" bestFit="1" customWidth="1"/>
    <col min="27" max="27" width="10.42578125" style="28" bestFit="1" customWidth="1"/>
    <col min="28" max="28" width="13.85546875" style="28" bestFit="1" customWidth="1"/>
    <col min="29" max="29" width="15.85546875" style="4" customWidth="1"/>
    <col min="30" max="30" width="9.28515625" style="4"/>
    <col min="31" max="31" width="17.28515625" style="4" customWidth="1"/>
    <col min="32" max="32" width="9.28515625" style="4"/>
    <col min="33" max="34" width="9.28515625" style="4" hidden="1" customWidth="1"/>
    <col min="35" max="36" width="11.28515625" style="4" customWidth="1"/>
    <col min="37" max="37" width="45.7109375" style="4" customWidth="1"/>
    <col min="38" max="38" width="13.140625" style="3" customWidth="1"/>
    <col min="39" max="39" width="11.42578125" style="4" customWidth="1"/>
    <col min="40" max="40" width="16.28515625" style="4" customWidth="1"/>
    <col min="41" max="41" width="40.7109375" style="4" customWidth="1"/>
    <col min="42" max="16384" width="9.28515625" style="4"/>
  </cols>
  <sheetData>
    <row r="1" spans="1:38" s="1" customFormat="1" hidden="1">
      <c r="A1" s="1" t="s">
        <v>176</v>
      </c>
      <c r="B1" s="1" t="s">
        <v>41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2" t="s">
        <v>7</v>
      </c>
      <c r="J1" s="1" t="s">
        <v>48</v>
      </c>
      <c r="K1" s="1" t="s">
        <v>17</v>
      </c>
      <c r="L1" s="20" t="s">
        <v>17</v>
      </c>
      <c r="M1" s="15" t="s">
        <v>17</v>
      </c>
      <c r="N1" s="1" t="s">
        <v>17</v>
      </c>
      <c r="O1" s="1" t="s">
        <v>17</v>
      </c>
      <c r="P1" s="1" t="s">
        <v>17</v>
      </c>
      <c r="Q1" s="2" t="s">
        <v>17</v>
      </c>
      <c r="R1" s="1" t="s">
        <v>17</v>
      </c>
      <c r="S1" s="1" t="s">
        <v>17</v>
      </c>
      <c r="T1" s="1" t="s">
        <v>17</v>
      </c>
      <c r="U1" s="1" t="s">
        <v>17</v>
      </c>
      <c r="V1" s="1" t="s">
        <v>17</v>
      </c>
      <c r="W1" s="1" t="s">
        <v>17</v>
      </c>
      <c r="X1" s="1" t="s">
        <v>7</v>
      </c>
      <c r="Y1" s="1" t="s">
        <v>7</v>
      </c>
      <c r="Z1" s="1" t="s">
        <v>17</v>
      </c>
      <c r="AA1" s="1" t="s">
        <v>17</v>
      </c>
      <c r="AB1" s="51" t="s">
        <v>17</v>
      </c>
      <c r="AG1" s="1" t="s">
        <v>7</v>
      </c>
      <c r="AH1" s="1" t="s">
        <v>7</v>
      </c>
      <c r="AL1" s="2"/>
    </row>
    <row r="2" spans="1:38" hidden="1">
      <c r="A2" s="1" t="s">
        <v>7</v>
      </c>
      <c r="D2" s="4" t="s">
        <v>18</v>
      </c>
      <c r="E2" s="4" t="str">
        <f>Option!$C$2</f>
        <v>UICACS</v>
      </c>
    </row>
    <row r="3" spans="1:38" hidden="1">
      <c r="A3" s="1" t="s">
        <v>7</v>
      </c>
      <c r="D3" s="7" t="s">
        <v>21</v>
      </c>
      <c r="E3" s="7" t="s">
        <v>19</v>
      </c>
      <c r="F3" s="7" t="s">
        <v>20</v>
      </c>
      <c r="G3" s="7" t="s">
        <v>22</v>
      </c>
      <c r="H3" s="7" t="s">
        <v>42</v>
      </c>
      <c r="I3" s="13" t="s">
        <v>23</v>
      </c>
    </row>
    <row r="4" spans="1:38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(U_ENR IN ('S7138270','7138270' )  OR U_MSENR IN ('S7138270','7138270' )) AND U_PRODTYPE ='MS' AND %Filter1% AND %Filter2%    ORDER BY DOCNUM, DOCDATE</v>
      </c>
      <c r="F4" s="8" t="s">
        <v>46</v>
      </c>
      <c r="G4" s="4" t="s">
        <v>24</v>
      </c>
      <c r="H4" s="4" t="str">
        <f>" ORDER BY DOCNUM, DOCDATE"</f>
        <v xml:space="preserve"> ORDER BY DOCNUM, DOCDATE</v>
      </c>
    </row>
    <row r="5" spans="1:38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 ORDER BY DOCNUM, DOCDATE</v>
      </c>
      <c r="F5" s="8" t="s">
        <v>47</v>
      </c>
      <c r="G5" s="4" t="s">
        <v>24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U_ENR IN ('S7138270','7138270' )  AND U_PRODTYPE ='MS' AND %Filter1% AND %Filter2%   </v>
      </c>
    </row>
    <row r="6" spans="1:38" ht="15.75" hidden="1" customHeight="1">
      <c r="A6" s="1" t="s">
        <v>7</v>
      </c>
      <c r="C6" s="4" t="s">
        <v>36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 ORDER BY DOCNUM, DOCDATE</v>
      </c>
      <c r="F6" s="8" t="s">
        <v>47</v>
      </c>
      <c r="G6" s="4" t="s">
        <v>24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)) AND U_MSENR IN ('S7138270','7138270' ) AND U_PRODTYPE ='MS' AND %Filter1% AND %Filter2%   </v>
      </c>
    </row>
    <row r="7" spans="1:38" hidden="1">
      <c r="A7" s="1" t="s">
        <v>7</v>
      </c>
    </row>
    <row r="8" spans="1:38" hidden="1">
      <c r="A8" s="1" t="s">
        <v>7</v>
      </c>
      <c r="K8" s="9"/>
    </row>
    <row r="9" spans="1:38" hidden="1">
      <c r="A9" s="1" t="s">
        <v>7</v>
      </c>
      <c r="K9" s="9"/>
    </row>
    <row r="10" spans="1:38" hidden="1">
      <c r="A10" s="1" t="s">
        <v>7</v>
      </c>
    </row>
    <row r="11" spans="1:38" hidden="1">
      <c r="A11" s="1" t="s">
        <v>7</v>
      </c>
      <c r="C11" s="4" t="s">
        <v>26</v>
      </c>
      <c r="E11" s="4" t="str">
        <f>Option!$C$9</f>
        <v>20250401..20250430</v>
      </c>
      <c r="K11" s="9"/>
    </row>
    <row r="12" spans="1:38" hidden="1">
      <c r="A12" s="1" t="s">
        <v>7</v>
      </c>
      <c r="C12" s="4" t="s">
        <v>27</v>
      </c>
      <c r="E12" s="4" t="str">
        <f>Option!$C$5</f>
        <v>*</v>
      </c>
      <c r="K12" s="9"/>
    </row>
    <row r="13" spans="1:38" hidden="1">
      <c r="A13" s="1" t="s">
        <v>7</v>
      </c>
      <c r="C13" s="4" t="s">
        <v>37</v>
      </c>
      <c r="E13" s="4" t="str">
        <f>Option!$C$10</f>
        <v xml:space="preserve">'S7138270','7138270' </v>
      </c>
      <c r="K13" s="9"/>
    </row>
    <row r="14" spans="1:38" hidden="1">
      <c r="A14" s="1" t="s">
        <v>7</v>
      </c>
      <c r="C14" s="4" t="s">
        <v>35</v>
      </c>
      <c r="E14" s="4" t="str">
        <f>Option!$C$11</f>
        <v xml:space="preserve">'S7138270','7138270' </v>
      </c>
      <c r="K14" s="9"/>
    </row>
    <row r="15" spans="1:38" hidden="1">
      <c r="A15" s="1" t="s">
        <v>7</v>
      </c>
      <c r="C15" s="4" t="s">
        <v>38</v>
      </c>
      <c r="E15" s="4" t="str">
        <f>Option!$C$12</f>
        <v>'MS'</v>
      </c>
      <c r="Y15" s="14"/>
    </row>
    <row r="16" spans="1:38" hidden="1">
      <c r="A16" s="1" t="s">
        <v>7</v>
      </c>
      <c r="C16" s="4" t="s">
        <v>39</v>
      </c>
      <c r="E16" s="4" t="str">
        <f>Option!$C$13</f>
        <v>'CI1077-SGD', 'CI1136-SGD', 'CI1137-SGD', 'CI1139-SGD', 'CI1146-SGD', 'CI1185-SGD', 'CI1190-SGD','CI1209-SGD','CI1232-SGD','CI1256-SGD','CN0015-SGD','CE0080-SGD','CS0084-SGD','CS0085-SGD','CI1238-SGD','CI1190-SGD','CS0086-SGD','CS0507-SGD','CS0507-SGD','CI1261-SGD','CS0085-SGD','CC0128-SGD','CS0222-SGD','CS0226-SGD','CS0653-SGD','CI1277-SGD','CB0059-SGD''CS0678-SGD','CS0653-SGD','CS0276-SGD','CS0200-SGD'</v>
      </c>
    </row>
    <row r="17" spans="1:41" hidden="1">
      <c r="A17" s="1" t="s">
        <v>7</v>
      </c>
    </row>
    <row r="18" spans="1:41" s="22" customFormat="1" hidden="1">
      <c r="A18" s="22" t="s">
        <v>7</v>
      </c>
      <c r="I18" s="23"/>
      <c r="L18" s="24"/>
      <c r="M18" s="25"/>
      <c r="Q18" s="26"/>
      <c r="V18" s="27"/>
      <c r="AA18" s="29"/>
      <c r="AB18" s="29"/>
      <c r="AL18" s="26"/>
    </row>
    <row r="20" spans="1:41" ht="15.75">
      <c r="K20" s="18"/>
      <c r="L20" s="18"/>
      <c r="M20" s="18"/>
      <c r="N20" s="18"/>
      <c r="O20" s="18"/>
      <c r="P20" s="18"/>
      <c r="Q20" s="21"/>
      <c r="R20" s="18"/>
      <c r="S20" s="18"/>
      <c r="T20" s="18"/>
      <c r="U20" s="18"/>
      <c r="V20" s="18"/>
      <c r="W20" s="18"/>
      <c r="X20" s="18"/>
      <c r="Y20" s="18"/>
      <c r="Z20" s="18"/>
    </row>
    <row r="21" spans="1:41" ht="15.75">
      <c r="K21" s="49" t="s">
        <v>40</v>
      </c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</row>
    <row r="22" spans="1:41" ht="15.75">
      <c r="K22" s="18"/>
      <c r="L22" s="18"/>
      <c r="M22" s="18"/>
      <c r="N22" s="18"/>
      <c r="O22" s="18"/>
      <c r="P22" s="18"/>
      <c r="Q22" s="21"/>
      <c r="R22" s="18"/>
      <c r="S22" s="18"/>
      <c r="T22" s="18"/>
      <c r="U22" s="18"/>
      <c r="V22" s="18"/>
      <c r="W22" s="18"/>
      <c r="X22" s="18"/>
      <c r="Y22" s="18"/>
      <c r="Z22" s="18"/>
    </row>
    <row r="23" spans="1:41" ht="78.75">
      <c r="E23" s="10" t="s">
        <v>28</v>
      </c>
      <c r="K23" s="33" t="s">
        <v>54</v>
      </c>
      <c r="L23" s="33" t="s">
        <v>55</v>
      </c>
      <c r="M23" s="33" t="s">
        <v>14</v>
      </c>
      <c r="N23" s="33" t="s">
        <v>15</v>
      </c>
      <c r="O23" s="34" t="s">
        <v>29</v>
      </c>
      <c r="P23" s="33" t="s">
        <v>56</v>
      </c>
      <c r="Q23" s="35" t="s">
        <v>57</v>
      </c>
      <c r="R23" s="33" t="s">
        <v>30</v>
      </c>
      <c r="S23" s="35" t="s">
        <v>34</v>
      </c>
      <c r="T23" s="35" t="s">
        <v>32</v>
      </c>
      <c r="U23" s="36" t="s">
        <v>16</v>
      </c>
      <c r="V23" s="37" t="s">
        <v>58</v>
      </c>
      <c r="W23" s="37" t="s">
        <v>59</v>
      </c>
      <c r="X23" s="38" t="s">
        <v>33</v>
      </c>
      <c r="Y23" s="38" t="s">
        <v>12</v>
      </c>
      <c r="Z23" s="35" t="s">
        <v>31</v>
      </c>
      <c r="AA23" s="35" t="s">
        <v>13</v>
      </c>
      <c r="AB23" s="39" t="s">
        <v>49</v>
      </c>
      <c r="AC23" s="39" t="s">
        <v>50</v>
      </c>
      <c r="AD23" s="40" t="s">
        <v>60</v>
      </c>
      <c r="AE23" s="41" t="s">
        <v>61</v>
      </c>
      <c r="AF23" s="41" t="s">
        <v>62</v>
      </c>
      <c r="AG23" s="41" t="s">
        <v>63</v>
      </c>
      <c r="AH23" s="37" t="s">
        <v>64</v>
      </c>
      <c r="AI23" s="37" t="s">
        <v>65</v>
      </c>
      <c r="AJ23" s="37" t="s">
        <v>66</v>
      </c>
      <c r="AK23" s="37" t="s">
        <v>67</v>
      </c>
      <c r="AL23" s="52" t="s">
        <v>68</v>
      </c>
      <c r="AM23" s="37" t="s">
        <v>69</v>
      </c>
      <c r="AN23" s="37" t="s">
        <v>70</v>
      </c>
      <c r="AO23" s="33" t="s">
        <v>71</v>
      </c>
    </row>
    <row r="24" spans="1:41">
      <c r="B24" s="1" t="str">
        <f>IF(K24="","Hide","Show")</f>
        <v>Show</v>
      </c>
      <c r="C24" s="4" t="s">
        <v>43</v>
      </c>
      <c r="E24" s="11" t="str">
        <f>"""UICACS"","""",""SQL="",""2=DOCNUM"",""33038462"",""14=CUSTREF"",""4825200765"",""14=U_CUSTREF"",""4825200765"",""15=DOCDATE"",""1/4/2025"",""15=TAXDATE"",""1/4/2025"",""14=CARDCODE"",""CI1139-SGD"",""14=CARDNAME"",""NATIONAL HEART CENTRE OF SINGAPORE PTE LTD"",""14=ITEMCODE"",""MSEP2-27398"&amp;"GLP"",""14=ITEMNAME"",""MS OFFICE MAC STANDARD 2024 SLNG LTSC"",""10=QUANTITY"",""1.000000"",""14=U_PONO"",""956134"",""15=U_PODATE"",""1/4/2025"",""10=U_TLINTCOS"",""0.000000"",""2=SLPCODE"",""132"",""14=SLPNAME"",""E0001-CS"",""14=MEMO"",""WENDY KUM CHIOU SZE"",""14=CONTACTNAME"",""E-INVO"&amp;"ICE"",""10=LINETOTAL"",""448.470000"",""14=U_ENR"","""",""14=U_MSENR"",""S7138270"",""14=U_MSPCN"",""A8AA53F5"",""14=ADDRESS2"",""HUAN YI_x000D_NATIONAL HEART CENTRE 5 HOSPITAL DRIVE, NHRIS LEVEL 9 SINGAPORE 169609_x000D_HUAN YI_x000D_TEL: 6704 2247_x000D_FAX: _x000D_EMAIL: lau.huan.yi@nhcs.com.sg"""</f>
        <v>"UICACS","","SQL=","2=DOCNUM","33038462","14=CUSTREF","4825200765","14=U_CUSTREF","4825200765","15=DOCDATE","1/4/2025","15=TAXDATE","1/4/2025","14=CARDCODE","CI1139-SGD","14=CARDNAME","NATIONAL HEART CENTRE OF SINGAPORE PTE LTD","14=ITEMCODE","MSEP2-27398GLP","14=ITEMNAME","MS OFFICE MAC STANDARD 2024 SLNG LTSC","10=QUANTITY","1.000000","14=U_PONO","956134","15=U_PODATE","1/4/2025","10=U_TLINTCOS","0.000000","2=SLPCODE","132","14=SLPNAME","E0001-CS","14=MEMO","WENDY KUM CHIOU SZE","14=CONTACTNAME","E-INVOICE","10=LINETOTAL","448.470000","14=U_ENR","","14=U_MSENR","S7138270","14=U_MSPCN","A8AA53F5","14=ADDRESS2","HUAN YI_x000D_NATIONAL HEART CENTRE 5 HOSPITAL DRIVE, NHRIS LEVEL 9 SINGAPORE 169609_x000D_HUAN YI_x000D_TEL: 6704 2247_x000D_FAX: _x000D_EMAIL: lau.huan.yi@nhcs.com.sg"</v>
      </c>
      <c r="K24" s="19">
        <f>MONTH(N24)</f>
        <v>4</v>
      </c>
      <c r="L24" s="19">
        <f>YEAR(N24)</f>
        <v>2025</v>
      </c>
      <c r="M24" s="4">
        <v>33038462</v>
      </c>
      <c r="N24" s="30">
        <v>45748</v>
      </c>
      <c r="O24" s="19" t="str">
        <f>"S7138270"</f>
        <v>S7138270</v>
      </c>
      <c r="P24" s="19" t="str">
        <f>"A8AA53F5"</f>
        <v>A8AA53F5</v>
      </c>
      <c r="Q24" s="19"/>
      <c r="R24" s="19" t="str">
        <f>"CI1139-SGD"</f>
        <v>CI1139-SGD</v>
      </c>
      <c r="S24" s="4" t="str">
        <f>"NATIONAL HEART CENTRE OF SINGAPORE PTE LTD"</f>
        <v>NATIONAL HEART CENTRE OF SINGAPORE PTE LTD</v>
      </c>
      <c r="T24" s="19" t="str">
        <f>"4825200765"</f>
        <v>4825200765</v>
      </c>
      <c r="U24" s="42">
        <v>45748</v>
      </c>
      <c r="V24" s="42">
        <v>45748</v>
      </c>
      <c r="W24" s="43">
        <f>SUM(N24-U24)</f>
        <v>0</v>
      </c>
      <c r="X24" s="44" t="str">
        <f>"MSEP2-27398GLP"</f>
        <v>MSEP2-27398GLP</v>
      </c>
      <c r="Y24" s="44" t="str">
        <f>"MS OFFICE MAC STANDARD 2024 SLNG LTSC"</f>
        <v>MS OFFICE MAC STANDARD 2024 SLNG LTSC</v>
      </c>
      <c r="Z24" s="44" t="str">
        <f>"WENDY KUM CHIOU SZE"</f>
        <v>WENDY KUM CHIOU SZE</v>
      </c>
      <c r="AA24" s="43">
        <v>1</v>
      </c>
      <c r="AB24" s="28">
        <f>IFERROR(AC24/AA24,0)</f>
        <v>448.47</v>
      </c>
      <c r="AC24" s="31">
        <v>448.47</v>
      </c>
      <c r="AD24" s="19" t="str">
        <f>"-"</f>
        <v>-</v>
      </c>
      <c r="AE24" s="45">
        <v>448.47</v>
      </c>
      <c r="AF24" s="30" t="s">
        <v>72</v>
      </c>
      <c r="AG24" s="46" t="str">
        <f>"HUAN YI_x000D_NATIONAL HEART CENTRE 5 HOSPITAL DRIVE, NHRIS LEVEL 9 SINGAPORE 169609_x000D_HUAN YI_x000D_TEL: 6704 2247_x000D_FAX: _x000D_EMAIL: lau.huan.yi@nhcs.com.sg"</f>
        <v>HUAN YI_x000D_NATIONAL HEART CENTRE 5 HOSPITAL DRIVE, NHRIS LEVEL 9 SINGAPORE 169609_x000D_HUAN YI_x000D_TEL: 6704 2247_x000D_FAX: _x000D_EMAIL: lau.huan.yi@nhcs.com.sg</v>
      </c>
      <c r="AH24" s="47" t="s">
        <v>73</v>
      </c>
      <c r="AI24" s="47" t="s">
        <v>74</v>
      </c>
      <c r="AJ24" s="3" t="str">
        <f>"MSEP2-27398GLP"</f>
        <v>MSEP2-27398GLP</v>
      </c>
      <c r="AK24" s="3" t="str">
        <f>"MS OFFICE MAC STANDARD 2024 SLNG LTSC"</f>
        <v>MS OFFICE MAC STANDARD 2024 SLNG LTSC</v>
      </c>
      <c r="AL24" s="3" t="str">
        <f>"-"</f>
        <v>-</v>
      </c>
      <c r="AM24" s="19" t="str">
        <f>"-"</f>
        <v>-</v>
      </c>
      <c r="AN24" s="19" t="str">
        <f>"-"</f>
        <v>-</v>
      </c>
      <c r="AO24" s="19" t="str">
        <f>"-"</f>
        <v>-</v>
      </c>
    </row>
    <row r="25" spans="1:41">
      <c r="A25" s="1" t="s">
        <v>173</v>
      </c>
      <c r="B25" s="1" t="str">
        <f t="shared" ref="B25:B33" si="0">IF(K25="","Hide","Show")</f>
        <v>Show</v>
      </c>
      <c r="C25" s="4" t="s">
        <v>43</v>
      </c>
      <c r="E25" s="11" t="str">
        <f>"""UICACS"","""",""SQL="",""2=DOCNUM"",""33038462"",""14=CUSTREF"",""4825200765"",""14=U_CUSTREF"",""4825200765"",""15=DOCDATE"",""1/4/2025"",""15=TAXDATE"",""1/4/2025"",""14=CARDCODE"",""CI1139-SGD"",""14=CARDNAME"",""NATIONAL HEART CENTRE OF SINGAPORE PTE LTD"",""14=ITEMCODE"",""MSEP2-27380"&amp;"GLP"",""14=ITEMNAME"",""MS OFFICE STANDARD 2024 SLNG LTSC"",""10=QUANTITY"",""1.000000"",""14=U_PONO"",""956134"",""15=U_PODATE"",""1/4/2025"",""10=U_TLINTCOS"",""0.000000"",""2=SLPCODE"",""132"",""14=SLPNAME"",""E0001-CS"",""14=MEMO"",""WENDY KUM CHIOU SZE"",""14=CONTACTNAME"",""E-INVOICE"""&amp;",""10=LINETOTAL"",""448.470000"",""14=U_ENR"","""",""14=U_MSENR"",""S7138270"",""14=U_MSPCN"",""A8AA53F5"",""14=ADDRESS2"",""HUAN YI_x000D_NATIONAL HEART CENTRE 5 HOSPITAL DRIVE, NHRIS LEVEL 9 SINGAPORE 169609_x000D_HUAN YI_x000D_TEL: 6704 2247_x000D_FAX: _x000D_EMAIL: lau.huan.yi@nhcs.com.sg"""</f>
        <v>"UICACS","","SQL=","2=DOCNUM","33038462","14=CUSTREF","4825200765","14=U_CUSTREF","4825200765","15=DOCDATE","1/4/2025","15=TAXDATE","1/4/2025","14=CARDCODE","CI1139-SGD","14=CARDNAME","NATIONAL HEART CENTRE OF SINGAPORE PTE LTD","14=ITEMCODE","MSEP2-27380GLP","14=ITEMNAME","MS OFFICE STANDARD 2024 SLNG LTSC","10=QUANTITY","1.000000","14=U_PONO","956134","15=U_PODATE","1/4/2025","10=U_TLINTCOS","0.000000","2=SLPCODE","132","14=SLPNAME","E0001-CS","14=MEMO","WENDY KUM CHIOU SZE","14=CONTACTNAME","E-INVOICE","10=LINETOTAL","448.470000","14=U_ENR","","14=U_MSENR","S7138270","14=U_MSPCN","A8AA53F5","14=ADDRESS2","HUAN YI_x000D_NATIONAL HEART CENTRE 5 HOSPITAL DRIVE, NHRIS LEVEL 9 SINGAPORE 169609_x000D_HUAN YI_x000D_TEL: 6704 2247_x000D_FAX: _x000D_EMAIL: lau.huan.yi@nhcs.com.sg"</v>
      </c>
      <c r="K25" s="19">
        <f>MONTH(N25)</f>
        <v>4</v>
      </c>
      <c r="L25" s="19">
        <f>YEAR(N25)</f>
        <v>2025</v>
      </c>
      <c r="M25" s="4">
        <v>33038462</v>
      </c>
      <c r="N25" s="30">
        <v>45748</v>
      </c>
      <c r="O25" s="19" t="str">
        <f>"S7138270"</f>
        <v>S7138270</v>
      </c>
      <c r="P25" s="19" t="str">
        <f>"A8AA53F5"</f>
        <v>A8AA53F5</v>
      </c>
      <c r="Q25" s="19"/>
      <c r="R25" s="19" t="str">
        <f>"CI1139-SGD"</f>
        <v>CI1139-SGD</v>
      </c>
      <c r="S25" s="4" t="str">
        <f>"NATIONAL HEART CENTRE OF SINGAPORE PTE LTD"</f>
        <v>NATIONAL HEART CENTRE OF SINGAPORE PTE LTD</v>
      </c>
      <c r="T25" s="19" t="str">
        <f>"4825200765"</f>
        <v>4825200765</v>
      </c>
      <c r="U25" s="42">
        <v>45748</v>
      </c>
      <c r="V25" s="42">
        <v>45748</v>
      </c>
      <c r="W25" s="43">
        <f>SUM(N25-U25)</f>
        <v>0</v>
      </c>
      <c r="X25" s="44" t="str">
        <f>"MSEP2-27380GLP"</f>
        <v>MSEP2-27380GLP</v>
      </c>
      <c r="Y25" s="44" t="str">
        <f>"MS OFFICE STANDARD 2024 SLNG LTSC"</f>
        <v>MS OFFICE STANDARD 2024 SLNG LTSC</v>
      </c>
      <c r="Z25" s="44" t="str">
        <f>"WENDY KUM CHIOU SZE"</f>
        <v>WENDY KUM CHIOU SZE</v>
      </c>
      <c r="AA25" s="43">
        <v>1</v>
      </c>
      <c r="AB25" s="28">
        <f>IFERROR(AC25/AA25,0)</f>
        <v>448.47</v>
      </c>
      <c r="AC25" s="31">
        <v>448.47</v>
      </c>
      <c r="AD25" s="19" t="str">
        <f>"-"</f>
        <v>-</v>
      </c>
      <c r="AE25" s="45">
        <v>448.47</v>
      </c>
      <c r="AF25" s="30" t="s">
        <v>72</v>
      </c>
      <c r="AG25" s="46" t="str">
        <f>"HUAN YI_x000D_NATIONAL HEART CENTRE 5 HOSPITAL DRIVE, NHRIS LEVEL 9 SINGAPORE 169609_x000D_HUAN YI_x000D_TEL: 6704 2247_x000D_FAX: _x000D_EMAIL: lau.huan.yi@nhcs.com.sg"</f>
        <v>HUAN YI_x000D_NATIONAL HEART CENTRE 5 HOSPITAL DRIVE, NHRIS LEVEL 9 SINGAPORE 169609_x000D_HUAN YI_x000D_TEL: 6704 2247_x000D_FAX: _x000D_EMAIL: lau.huan.yi@nhcs.com.sg</v>
      </c>
      <c r="AH25" s="47" t="s">
        <v>73</v>
      </c>
      <c r="AI25" s="47" t="s">
        <v>74</v>
      </c>
      <c r="AJ25" s="3" t="str">
        <f>"MSEP2-27380GLP"</f>
        <v>MSEP2-27380GLP</v>
      </c>
      <c r="AK25" s="3" t="str">
        <f>"MS OFFICE STANDARD 2024 SLNG LTSC"</f>
        <v>MS OFFICE STANDARD 2024 SLNG LTSC</v>
      </c>
      <c r="AL25" s="3" t="str">
        <f>"-"</f>
        <v>-</v>
      </c>
      <c r="AM25" s="19" t="str">
        <f>"-"</f>
        <v>-</v>
      </c>
      <c r="AN25" s="19" t="str">
        <f>"-"</f>
        <v>-</v>
      </c>
      <c r="AO25" s="19" t="str">
        <f>"-"</f>
        <v>-</v>
      </c>
    </row>
    <row r="26" spans="1:41">
      <c r="A26" s="1" t="s">
        <v>173</v>
      </c>
      <c r="B26" s="1" t="str">
        <f t="shared" si="0"/>
        <v>Show</v>
      </c>
      <c r="C26" s="4" t="s">
        <v>43</v>
      </c>
      <c r="E26" s="11" t="str">
        <f>"""UICACS"","""",""SQL="",""2=DOCNUM"",""33038496"",""14=CUSTREF"",""8725004052"",""14=U_CUSTREF"",""8725004052"",""15=DOCDATE"",""3/4/2025"",""15=TAXDATE"",""3/4/2025"",""14=CARDCODE"",""CI1232-SGD"",""14=CARDNAME"",""SINGAPORE GENERAL HOSPITAL PTE LTD"",""14=ITEMCODE"",""MS9EA-00267GLP"",""14"&amp;"=ITEMNAME"",""MS WIN SERVER DC CORE SLNG LSA 2L"",""10=QUANTITY"",""96.000000"",""14=U_PONO"",""955919"",""15=U_PODATE"",""20/3/2025"",""10=U_TLINTCOS"",""0.000000"",""2=SLPCODE"",""132"",""14=SLPNAME"",""E0001-CS"",""14=MEMO"",""WENDY KUM CHIOU SZE"",""14=CONTACTNAME"",""FINANCE DEPARTME"&amp;"NT"",""10=LINETOTAL"",""117420.480000"",""14=U_ENR"","""",""14=U_MSENR"",""S7138270"",""14=U_MSPCN"",""8E125DFC"",""14=ADDRESS2"",""TAN CHUN HOOI/SEAH WAIH KHUEN_x000D_SINGAPORE GENERAL HOSPITAL PTE LTD 20 COLLEGE ROAD, THE ACADEMIA LEVEL 3, SERVER ROOM SINGAPORE 169856_x000D_TAN CHUN H"&amp;"OOI/SEAH WAIH KHUEN_x000D_TEL: 84288255_x000D_FAX: _x000D_EMAIL: tan.chun.hooi@synapxe.sg"""</f>
        <v>"UICACS","","SQL=","2=DOCNUM","33038496","14=CUSTREF","8725004052","14=U_CUSTREF","8725004052","15=DOCDATE","3/4/2025","15=TAXDATE","3/4/2025","14=CARDCODE","CI1232-SGD","14=CARDNAME","SINGAPORE GENERAL HOSPITAL PTE LTD","14=ITEMCODE","MS9EA-00267GLP","14=ITEMNAME","MS WIN SERVER DC CORE SLNG LSA 2L","10=QUANTITY","96.000000","14=U_PONO","955919","15=U_PODATE","20/3/2025","10=U_TLINTCOS","0.000000","2=SLPCODE","132","14=SLPNAME","E0001-CS","14=MEMO","WENDY KUM CHIOU SZE","14=CONTACTNAME","FINANCE DEPARTMENT","10=LINETOTAL","117420.480000","14=U_ENR","","14=U_MSENR","S7138270","14=U_MSPCN","8E125DFC","14=ADDRESS2","TAN CHUN HOOI/SEAH WAIH KHUEN_x000D_SINGAPORE GENERAL HOSPITAL PTE LTD 20 COLLEGE ROAD, THE ACADEMIA LEVEL 3, SERVER ROOM SINGAPORE 169856_x000D_TAN CHUN HOOI/SEAH WAIH KHUEN_x000D_TEL: 84288255_x000D_FAX: _x000D_EMAIL: tan.chun.hooi@synapxe.sg"</v>
      </c>
      <c r="K26" s="19">
        <f>MONTH(N26)</f>
        <v>4</v>
      </c>
      <c r="L26" s="19">
        <f>YEAR(N26)</f>
        <v>2025</v>
      </c>
      <c r="M26" s="4">
        <v>33038496</v>
      </c>
      <c r="N26" s="30">
        <v>45750</v>
      </c>
      <c r="O26" s="19" t="str">
        <f>"S7138270"</f>
        <v>S7138270</v>
      </c>
      <c r="P26" s="19" t="str">
        <f>"8E125DFC"</f>
        <v>8E125DFC</v>
      </c>
      <c r="Q26" s="19"/>
      <c r="R26" s="19" t="str">
        <f>"CI1232-SGD"</f>
        <v>CI1232-SGD</v>
      </c>
      <c r="S26" s="4" t="str">
        <f>"SINGAPORE GENERAL HOSPITAL PTE LTD"</f>
        <v>SINGAPORE GENERAL HOSPITAL PTE LTD</v>
      </c>
      <c r="T26" s="19" t="str">
        <f>"8725004052"</f>
        <v>8725004052</v>
      </c>
      <c r="U26" s="42">
        <v>45736</v>
      </c>
      <c r="V26" s="42">
        <v>45750</v>
      </c>
      <c r="W26" s="43">
        <f>SUM(N26-U26)</f>
        <v>14</v>
      </c>
      <c r="X26" s="44" t="str">
        <f>"MS9EA-00267GLP"</f>
        <v>MS9EA-00267GLP</v>
      </c>
      <c r="Y26" s="44" t="str">
        <f>"MS WIN SERVER DC CORE SLNG LSA 2L"</f>
        <v>MS WIN SERVER DC CORE SLNG LSA 2L</v>
      </c>
      <c r="Z26" s="44" t="str">
        <f>"WENDY KUM CHIOU SZE"</f>
        <v>WENDY KUM CHIOU SZE</v>
      </c>
      <c r="AA26" s="43">
        <v>96</v>
      </c>
      <c r="AB26" s="28">
        <f>IFERROR(AC26/AA26,0)</f>
        <v>1223.1299999999999</v>
      </c>
      <c r="AC26" s="31">
        <v>117420.48</v>
      </c>
      <c r="AD26" s="19" t="str">
        <f>"-"</f>
        <v>-</v>
      </c>
      <c r="AE26" s="45">
        <v>117420.48</v>
      </c>
      <c r="AF26" s="30" t="s">
        <v>72</v>
      </c>
      <c r="AG26" s="46" t="str">
        <f>"TAN CHUN HOOI/SEAH WAIH KHUEN_x000D_SINGAPORE GENERAL HOSPITAL PTE LTD 20 COLLEGE ROAD, THE ACADEMIA LEVEL 3, SERVER ROOM SINGAPORE 169856_x000D_TAN CHUN HOOI/SEAH WAIH KHUEN_x000D_TEL: 84288255_x000D_FAX: _x000D_EMAIL: tan.chun.hooi@synapxe.sg"</f>
        <v>TAN CHUN HOOI/SEAH WAIH KHUEN_x000D_SINGAPORE GENERAL HOSPITAL PTE LTD 20 COLLEGE ROAD, THE ACADEMIA LEVEL 3, SERVER ROOM SINGAPORE 169856_x000D_TAN CHUN HOOI/SEAH WAIH KHUEN_x000D_TEL: 84288255_x000D_FAX: _x000D_EMAIL: tan.chun.hooi@synapxe.sg</v>
      </c>
      <c r="AH26" s="47" t="s">
        <v>73</v>
      </c>
      <c r="AI26" s="47" t="s">
        <v>74</v>
      </c>
      <c r="AJ26" s="3" t="str">
        <f>"MS9EA-00267GLP"</f>
        <v>MS9EA-00267GLP</v>
      </c>
      <c r="AK26" s="3" t="str">
        <f>"MS WIN SERVER DC CORE SLNG LSA 2L"</f>
        <v>MS WIN SERVER DC CORE SLNG LSA 2L</v>
      </c>
      <c r="AL26" s="3" t="s">
        <v>442</v>
      </c>
      <c r="AM26" s="19" t="s">
        <v>441</v>
      </c>
      <c r="AN26" s="19" t="s">
        <v>440</v>
      </c>
      <c r="AO26" s="3" t="s">
        <v>443</v>
      </c>
    </row>
    <row r="27" spans="1:41">
      <c r="A27" s="1" t="s">
        <v>173</v>
      </c>
      <c r="B27" s="1" t="str">
        <f t="shared" si="0"/>
        <v>Show</v>
      </c>
      <c r="C27" s="4" t="s">
        <v>43</v>
      </c>
      <c r="E27" s="11" t="str">
        <f>"""UICACS"","""",""SQL="",""2=DOCNUM"",""33038517"",""14=CUSTREF"",""8725004560"",""14=U_CUSTREF"",""8725004560"",""15=DOCDATE"",""3/4/2025"",""15=TAXDATE"",""3/4/2025"",""14=CARDCODE"",""CI1232-SGD"",""14=CARDNAME"",""SINGAPORE GENERAL HOSPITAL PTE LTD"",""14=ITEMCODE"",""MS9EA-00267GLP"",""14"&amp;"=ITEMNAME"",""MS WIN SERVER DC CORE SLNG LSA 2L"",""10=QUANTITY"",""1.000000"",""14=U_PONO"",""956190"",""15=U_PODATE"",""3/4/2025"",""10=U_TLINTCOS"",""0.000000"",""2=SLPCODE"",""132"",""14=SLPNAME"",""E0001-CS"",""14=MEMO"",""WENDY KUM CHIOU SZE"",""14=CONTACTNAME"",""FINANCE DEPARTMENT"&amp;""",""10=LINETOTAL"",""1248.080000"",""14=U_ENR"","""",""14=U_MSENR"",""S7138270"",""14=U_MSPCN"",""8E125DFC"",""14=ADDRESS2"",""CAROL TAN / ANWAR/ ANG CHENG HIAN_x000D_SINGAPORE GENERAL HOSPITAL 20 COLLEGE ROAD, ACADEMIA, DIGNOSTICS TOWER, PATHOLOGY ADMIN OFFICE SINGAPORE 169856_x000D_C"&amp;"AROL TAN / ANWAR/ ANG CHENG HIAN_x000D_TEL: _x000D_FAX: _x000D_EMAIL: feroz.anwar.batcha@synapxe.sg"""</f>
        <v>"UICACS","","SQL=","2=DOCNUM","33038517","14=CUSTREF","8725004560","14=U_CUSTREF","8725004560","15=DOCDATE","3/4/2025","15=TAXDATE","3/4/2025","14=CARDCODE","CI1232-SGD","14=CARDNAME","SINGAPORE GENERAL HOSPITAL PTE LTD","14=ITEMCODE","MS9EA-00267GLP","14=ITEMNAME","MS WIN SERVER DC CORE SLNG LSA 2L","10=QUANTITY","1.000000","14=U_PONO","956190","15=U_PODATE","3/4/2025","10=U_TLINTCOS","0.000000","2=SLPCODE","132","14=SLPNAME","E0001-CS","14=MEMO","WENDY KUM CHIOU SZE","14=CONTACTNAME","FINANCE DEPARTMENT","10=LINETOTAL","1248.080000","14=U_ENR","","14=U_MSENR","S7138270","14=U_MSPCN","8E125DFC","14=ADDRESS2","CAROL TAN / ANWAR/ ANG CHENG HIAN_x000D_SINGAPORE GENERAL HOSPITAL 20 COLLEGE ROAD, ACADEMIA, DIGNOSTICS TOWER, PATHOLOGY ADMIN OFFICE SINGAPORE 169856_x000D_CAROL TAN / ANWAR/ ANG CHENG HIAN_x000D_TEL: _x000D_FAX: _x000D_EMAIL: feroz.anwar.batcha@synapxe.sg"</v>
      </c>
      <c r="K27" s="19">
        <f>MONTH(N27)</f>
        <v>4</v>
      </c>
      <c r="L27" s="19">
        <f>YEAR(N27)</f>
        <v>2025</v>
      </c>
      <c r="M27" s="4">
        <v>33038517</v>
      </c>
      <c r="N27" s="30">
        <v>45750</v>
      </c>
      <c r="O27" s="19" t="str">
        <f>"S7138270"</f>
        <v>S7138270</v>
      </c>
      <c r="P27" s="19" t="str">
        <f>"8E125DFC"</f>
        <v>8E125DFC</v>
      </c>
      <c r="Q27" s="19"/>
      <c r="R27" s="19" t="str">
        <f>"CI1232-SGD"</f>
        <v>CI1232-SGD</v>
      </c>
      <c r="S27" s="4" t="str">
        <f>"SINGAPORE GENERAL HOSPITAL PTE LTD"</f>
        <v>SINGAPORE GENERAL HOSPITAL PTE LTD</v>
      </c>
      <c r="T27" s="19" t="str">
        <f>"8725004560"</f>
        <v>8725004560</v>
      </c>
      <c r="U27" s="42">
        <v>45750</v>
      </c>
      <c r="V27" s="42">
        <v>45750</v>
      </c>
      <c r="W27" s="43">
        <f>SUM(N27-U27)</f>
        <v>0</v>
      </c>
      <c r="X27" s="44" t="str">
        <f>"MS9EA-00267GLP"</f>
        <v>MS9EA-00267GLP</v>
      </c>
      <c r="Y27" s="44" t="str">
        <f>"MS WIN SERVER DC CORE SLNG LSA 2L"</f>
        <v>MS WIN SERVER DC CORE SLNG LSA 2L</v>
      </c>
      <c r="Z27" s="44" t="str">
        <f>"WENDY KUM CHIOU SZE"</f>
        <v>WENDY KUM CHIOU SZE</v>
      </c>
      <c r="AA27" s="43">
        <v>1</v>
      </c>
      <c r="AB27" s="28">
        <f>IFERROR(AC27/AA27,0)</f>
        <v>1248.08</v>
      </c>
      <c r="AC27" s="31">
        <v>1248.08</v>
      </c>
      <c r="AD27" s="19" t="str">
        <f>"-"</f>
        <v>-</v>
      </c>
      <c r="AE27" s="45">
        <v>1248.08</v>
      </c>
      <c r="AF27" s="30" t="s">
        <v>72</v>
      </c>
      <c r="AG27" s="46" t="str">
        <f>"CAROL TAN / ANWAR/ ANG CHENG HIAN_x000D_SINGAPORE GENERAL HOSPITAL 20 COLLEGE ROAD, ACADEMIA, DIGNOSTICS TOWER, PATHOLOGY ADMIN OFFICE SINGAPORE 169856_x000D_CAROL TAN / ANWAR/ ANG CHENG HIAN_x000D_TEL: _x000D_FAX: _x000D_EMAIL: feroz.anwar.batcha@synapxe.sg"</f>
        <v>CAROL TAN / ANWAR/ ANG CHENG HIAN_x000D_SINGAPORE GENERAL HOSPITAL 20 COLLEGE ROAD, ACADEMIA, DIGNOSTICS TOWER, PATHOLOGY ADMIN OFFICE SINGAPORE 169856_x000D_CAROL TAN / ANWAR/ ANG CHENG HIAN_x000D_TEL: _x000D_FAX: _x000D_EMAIL: feroz.anwar.batcha@synapxe.sg</v>
      </c>
      <c r="AH27" s="47" t="s">
        <v>73</v>
      </c>
      <c r="AI27" s="47" t="s">
        <v>74</v>
      </c>
      <c r="AJ27" s="3" t="str">
        <f>"MS9EA-00267GLP"</f>
        <v>MS9EA-00267GLP</v>
      </c>
      <c r="AK27" s="3" t="str">
        <f>"MS WIN SERVER DC CORE SLNG LSA 2L"</f>
        <v>MS WIN SERVER DC CORE SLNG LSA 2L</v>
      </c>
      <c r="AL27" s="3" t="s">
        <v>442</v>
      </c>
      <c r="AM27" s="19" t="s">
        <v>441</v>
      </c>
      <c r="AN27" s="19" t="s">
        <v>440</v>
      </c>
      <c r="AO27" s="19" t="str">
        <f>"-"</f>
        <v>-</v>
      </c>
    </row>
    <row r="28" spans="1:41">
      <c r="A28" s="1" t="s">
        <v>173</v>
      </c>
      <c r="B28" s="1" t="str">
        <f t="shared" si="0"/>
        <v>Show</v>
      </c>
      <c r="C28" s="4" t="s">
        <v>43</v>
      </c>
      <c r="E28" s="11" t="str">
        <f>"""UICACS"","""",""SQL="",""2=DOCNUM"",""33038517"",""14=CUSTREF"",""8725004560"",""14=U_CUSTREF"",""8725004560"",""15=DOCDATE"",""3/4/2025"",""15=TAXDATE"",""3/4/2025"",""14=CARDCODE"",""CI1232-SGD"",""14=CARDNAME"",""SINGAPORE GENERAL HOSPITAL PTE LTD"",""14=ITEMCODE"",""MS9EA-00267GLP"",""14"&amp;"=ITEMNAME"",""MS WIN SERVER DC CORE SLNG LSA 2L"",""10=QUANTITY"",""7.000000"",""14=U_PONO"",""956190"",""15=U_PODATE"",""3/4/2025"",""10=U_TLINTCOS"",""0.000000"",""2=SLPCODE"",""132"",""14=SLPNAME"",""E0001-CS"",""14=MEMO"",""WENDY KUM CHIOU SZE"",""14=CONTACTNAME"",""FINANCE DEPARTMENT"&amp;""",""10=LINETOTAL"",""8736.630000"",""14=U_ENR"","""",""14=U_MSENR"",""S7138270"",""14=U_MSPCN"",""8E125DFC"",""14=ADDRESS2"",""CAROL TAN / ANWAR/ ANG CHENG HIAN_x000D_SINGAPORE GENERAL HOSPITAL 20 COLLEGE ROAD, ACADEMIA, DIGNOSTICS TOWER, PATHOLOGY ADMIN OFFICE SINGAPORE 169856_x000D_C"&amp;"AROL TAN / ANWAR/ ANG CHENG HIAN_x000D_TEL: _x000D_FAX: _x000D_EMAIL: feroz.anwar.batcha@synapxe.sg"""</f>
        <v>"UICACS","","SQL=","2=DOCNUM","33038517","14=CUSTREF","8725004560","14=U_CUSTREF","8725004560","15=DOCDATE","3/4/2025","15=TAXDATE","3/4/2025","14=CARDCODE","CI1232-SGD","14=CARDNAME","SINGAPORE GENERAL HOSPITAL PTE LTD","14=ITEMCODE","MS9EA-00267GLP","14=ITEMNAME","MS WIN SERVER DC CORE SLNG LSA 2L","10=QUANTITY","7.000000","14=U_PONO","956190","15=U_PODATE","3/4/2025","10=U_TLINTCOS","0.000000","2=SLPCODE","132","14=SLPNAME","E0001-CS","14=MEMO","WENDY KUM CHIOU SZE","14=CONTACTNAME","FINANCE DEPARTMENT","10=LINETOTAL","8736.630000","14=U_ENR","","14=U_MSENR","S7138270","14=U_MSPCN","8E125DFC","14=ADDRESS2","CAROL TAN / ANWAR/ ANG CHENG HIAN_x000D_SINGAPORE GENERAL HOSPITAL 20 COLLEGE ROAD, ACADEMIA, DIGNOSTICS TOWER, PATHOLOGY ADMIN OFFICE SINGAPORE 169856_x000D_CAROL TAN / ANWAR/ ANG CHENG HIAN_x000D_TEL: _x000D_FAX: _x000D_EMAIL: feroz.anwar.batcha@synapxe.sg"</v>
      </c>
      <c r="K28" s="19">
        <f>MONTH(N28)</f>
        <v>4</v>
      </c>
      <c r="L28" s="19">
        <f>YEAR(N28)</f>
        <v>2025</v>
      </c>
      <c r="M28" s="4">
        <v>33038517</v>
      </c>
      <c r="N28" s="30">
        <v>45750</v>
      </c>
      <c r="O28" s="19" t="str">
        <f>"S7138270"</f>
        <v>S7138270</v>
      </c>
      <c r="P28" s="19" t="str">
        <f>"8E125DFC"</f>
        <v>8E125DFC</v>
      </c>
      <c r="Q28" s="19"/>
      <c r="R28" s="19" t="str">
        <f>"CI1232-SGD"</f>
        <v>CI1232-SGD</v>
      </c>
      <c r="S28" s="4" t="str">
        <f>"SINGAPORE GENERAL HOSPITAL PTE LTD"</f>
        <v>SINGAPORE GENERAL HOSPITAL PTE LTD</v>
      </c>
      <c r="T28" s="19" t="str">
        <f>"8725004560"</f>
        <v>8725004560</v>
      </c>
      <c r="U28" s="42">
        <v>45750</v>
      </c>
      <c r="V28" s="42">
        <v>45750</v>
      </c>
      <c r="W28" s="43">
        <f>SUM(N28-U28)</f>
        <v>0</v>
      </c>
      <c r="X28" s="44" t="str">
        <f>"MS9EA-00267GLP"</f>
        <v>MS9EA-00267GLP</v>
      </c>
      <c r="Y28" s="44" t="str">
        <f>"MS WIN SERVER DC CORE SLNG LSA 2L"</f>
        <v>MS WIN SERVER DC CORE SLNG LSA 2L</v>
      </c>
      <c r="Z28" s="44" t="str">
        <f>"WENDY KUM CHIOU SZE"</f>
        <v>WENDY KUM CHIOU SZE</v>
      </c>
      <c r="AA28" s="43">
        <v>7</v>
      </c>
      <c r="AB28" s="28">
        <f>IFERROR(AC28/AA28,0)</f>
        <v>1248.0899999999999</v>
      </c>
      <c r="AC28" s="31">
        <v>8736.6299999999992</v>
      </c>
      <c r="AD28" s="19" t="str">
        <f>"-"</f>
        <v>-</v>
      </c>
      <c r="AE28" s="45">
        <v>8736.6299999999992</v>
      </c>
      <c r="AF28" s="30" t="s">
        <v>72</v>
      </c>
      <c r="AG28" s="46" t="str">
        <f>"CAROL TAN / ANWAR/ ANG CHENG HIAN_x000D_SINGAPORE GENERAL HOSPITAL 20 COLLEGE ROAD, ACADEMIA, DIGNOSTICS TOWER, PATHOLOGY ADMIN OFFICE SINGAPORE 169856_x000D_CAROL TAN / ANWAR/ ANG CHENG HIAN_x000D_TEL: _x000D_FAX: _x000D_EMAIL: feroz.anwar.batcha@synapxe.sg"</f>
        <v>CAROL TAN / ANWAR/ ANG CHENG HIAN_x000D_SINGAPORE GENERAL HOSPITAL 20 COLLEGE ROAD, ACADEMIA, DIGNOSTICS TOWER, PATHOLOGY ADMIN OFFICE SINGAPORE 169856_x000D_CAROL TAN / ANWAR/ ANG CHENG HIAN_x000D_TEL: _x000D_FAX: _x000D_EMAIL: feroz.anwar.batcha@synapxe.sg</v>
      </c>
      <c r="AH28" s="47" t="s">
        <v>73</v>
      </c>
      <c r="AI28" s="47" t="s">
        <v>74</v>
      </c>
      <c r="AJ28" s="3" t="str">
        <f>"MS9EA-00267GLP"</f>
        <v>MS9EA-00267GLP</v>
      </c>
      <c r="AK28" s="3" t="str">
        <f>"MS WIN SERVER DC CORE SLNG LSA 2L"</f>
        <v>MS WIN SERVER DC CORE SLNG LSA 2L</v>
      </c>
      <c r="AL28" s="3" t="s">
        <v>442</v>
      </c>
      <c r="AM28" s="19" t="s">
        <v>441</v>
      </c>
      <c r="AN28" s="19" t="s">
        <v>440</v>
      </c>
      <c r="AO28" s="19" t="str">
        <f>"-"</f>
        <v>-</v>
      </c>
    </row>
    <row r="29" spans="1:41">
      <c r="A29" s="1" t="s">
        <v>173</v>
      </c>
      <c r="B29" s="1" t="str">
        <f t="shared" si="0"/>
        <v>Show</v>
      </c>
      <c r="C29" s="4" t="s">
        <v>43</v>
      </c>
      <c r="E29" s="11" t="str">
        <f>"""UICACS"","""",""SQL="",""2=DOCNUM"",""33038523"",""14=CUSTREF"",""4640001918"",""14=U_CUSTREF"",""4640001918"",""15=DOCDATE"",""4/4/2025"",""15=TAXDATE"",""4/4/2025"",""14=CARDCODE"",""CN0015-SGD"",""14=CARDNAME"",""NATIONAL CANCER CENTRE SINGAPORE PTE LTD"",""14=ITEMCODE"",""MSEP2-27380GL"&amp;"P"",""14=ITEMNAME"",""MS OFFICE STANDARD 2024 SLNG LTSC"",""10=QUANTITY"",""1.000000"",""14=U_PONO"",""956208"",""15=U_PODATE"",""4/4/2025"",""10=U_TLINTCOS"",""0.000000"",""2=SLPCODE"",""132"",""14=SLPNAME"",""E0001-CS"",""14=MEMO"",""WENDY KUM CHIOU SZE"",""14=CONTACTNAME"",""RESEARCH PRO"&amp;"CUREMENT"",""10=LINETOTAL"",""453.830000"",""14=U_ENR"","""",""14=U_MSENR"",""S7138270"",""14=U_MSPCN"",""A89BD94A"",""14=ADDRESS2"",""NUR AFIFAH_x000D_NATIONAL CANCER CENTRE SINGAPORE PTE LTD 30 HOSPITAL BOULEVARD #20-1, RESEARCH STORE SINGAPORE 168583_x000D_NUR AFIFAH_x000D_TEL: 63065316_x000D_FA"&amp;"X: _x000D_EMAIL: nur.afifah.ibrahim@nccs.com.sg"""</f>
        <v>"UICACS","","SQL=","2=DOCNUM","33038523","14=CUSTREF","4640001918","14=U_CUSTREF","4640001918","15=DOCDATE","4/4/2025","15=TAXDATE","4/4/2025","14=CARDCODE","CN0015-SGD","14=CARDNAME","NATIONAL CANCER CENTRE SINGAPORE PTE LTD","14=ITEMCODE","MSEP2-27380GLP","14=ITEMNAME","MS OFFICE STANDARD 2024 SLNG LTSC","10=QUANTITY","1.000000","14=U_PONO","956208","15=U_PODATE","4/4/2025","10=U_TLINTCOS","0.000000","2=SLPCODE","132","14=SLPNAME","E0001-CS","14=MEMO","WENDY KUM CHIOU SZE","14=CONTACTNAME","RESEARCH PROCUREMENT","10=LINETOTAL","453.830000","14=U_ENR","","14=U_MSENR","S7138270","14=U_MSPCN","A89BD94A","14=ADDRESS2","NUR AFIFAH_x000D_NATIONAL CANCER CENTRE SINGAPORE PTE LTD 30 HOSPITAL BOULEVARD #20-1, RESEARCH STORE SINGAPORE 168583_x000D_NUR AFIFAH_x000D_TEL: 63065316_x000D_FAX: _x000D_EMAIL: nur.afifah.ibrahim@nccs.com.sg"</v>
      </c>
      <c r="K29" s="19">
        <f>MONTH(N29)</f>
        <v>4</v>
      </c>
      <c r="L29" s="19">
        <f>YEAR(N29)</f>
        <v>2025</v>
      </c>
      <c r="M29" s="4">
        <v>33038523</v>
      </c>
      <c r="N29" s="30">
        <v>45751</v>
      </c>
      <c r="O29" s="19" t="str">
        <f>"S7138270"</f>
        <v>S7138270</v>
      </c>
      <c r="P29" s="19" t="str">
        <f>"A89BD94A"</f>
        <v>A89BD94A</v>
      </c>
      <c r="Q29" s="19"/>
      <c r="R29" s="19" t="str">
        <f>"CN0015-SGD"</f>
        <v>CN0015-SGD</v>
      </c>
      <c r="S29" s="4" t="str">
        <f>"NATIONAL CANCER CENTRE SINGAPORE PTE LTD"</f>
        <v>NATIONAL CANCER CENTRE SINGAPORE PTE LTD</v>
      </c>
      <c r="T29" s="19" t="str">
        <f>"4640001918"</f>
        <v>4640001918</v>
      </c>
      <c r="U29" s="42">
        <v>45751</v>
      </c>
      <c r="V29" s="42">
        <v>45751</v>
      </c>
      <c r="W29" s="43">
        <f>SUM(N29-U29)</f>
        <v>0</v>
      </c>
      <c r="X29" s="44" t="str">
        <f>"MSEP2-27380GLP"</f>
        <v>MSEP2-27380GLP</v>
      </c>
      <c r="Y29" s="44" t="str">
        <f>"MS OFFICE STANDARD 2024 SLNG LTSC"</f>
        <v>MS OFFICE STANDARD 2024 SLNG LTSC</v>
      </c>
      <c r="Z29" s="44" t="str">
        <f>"WENDY KUM CHIOU SZE"</f>
        <v>WENDY KUM CHIOU SZE</v>
      </c>
      <c r="AA29" s="43">
        <v>1</v>
      </c>
      <c r="AB29" s="28">
        <f>IFERROR(AC29/AA29,0)</f>
        <v>453.83</v>
      </c>
      <c r="AC29" s="31">
        <v>453.83</v>
      </c>
      <c r="AD29" s="19" t="str">
        <f>"-"</f>
        <v>-</v>
      </c>
      <c r="AE29" s="45">
        <v>453.83</v>
      </c>
      <c r="AF29" s="30" t="s">
        <v>72</v>
      </c>
      <c r="AG29" s="46" t="str">
        <f>"NUR AFIFAH_x000D_NATIONAL CANCER CENTRE SINGAPORE PTE LTD 30 HOSPITAL BOULEVARD #20-1, RESEARCH STORE SINGAPORE 168583_x000D_NUR AFIFAH_x000D_TEL: 63065316_x000D_FAX: _x000D_EMAIL: nur.afifah.ibrahim@nccs.com.sg"</f>
        <v>NUR AFIFAH_x000D_NATIONAL CANCER CENTRE SINGAPORE PTE LTD 30 HOSPITAL BOULEVARD #20-1, RESEARCH STORE SINGAPORE 168583_x000D_NUR AFIFAH_x000D_TEL: 63065316_x000D_FAX: _x000D_EMAIL: nur.afifah.ibrahim@nccs.com.sg</v>
      </c>
      <c r="AH29" s="47" t="s">
        <v>73</v>
      </c>
      <c r="AI29" s="47" t="s">
        <v>74</v>
      </c>
      <c r="AJ29" s="3" t="str">
        <f>"MSEP2-27380GLP"</f>
        <v>MSEP2-27380GLP</v>
      </c>
      <c r="AK29" s="3" t="str">
        <f>"MS OFFICE STANDARD 2024 SLNG LTSC"</f>
        <v>MS OFFICE STANDARD 2024 SLNG LTSC</v>
      </c>
      <c r="AL29" s="3" t="str">
        <f>"-"</f>
        <v>-</v>
      </c>
      <c r="AM29" s="19" t="str">
        <f>"-"</f>
        <v>-</v>
      </c>
      <c r="AN29" s="19" t="str">
        <f>"-"</f>
        <v>-</v>
      </c>
      <c r="AO29" s="19" t="str">
        <f>"-"</f>
        <v>-</v>
      </c>
    </row>
    <row r="30" spans="1:41">
      <c r="A30" s="1" t="s">
        <v>173</v>
      </c>
      <c r="B30" s="1" t="str">
        <f t="shared" si="0"/>
        <v>Show</v>
      </c>
      <c r="C30" s="4" t="s">
        <v>43</v>
      </c>
      <c r="E30" s="11" t="str">
        <f>"""UICACS"","""",""SQL="",""2=DOCNUM"",""33038576"",""14=CUSTREF"",""4500019755"",""14=U_CUSTREF"",""4500019755"",""15=DOCDATE"",""14/4/2025"",""15=TAXDATE"",""14/4/2025"",""14=CARDCODE"",""CS0200-SGD"",""14=CARDNAME"",""ST ANDREW'S COMMUNITY HOSPITAL"",""14=ITEMCODE"",""MSEP2-24970GLP"",""14=I"&amp;"TEMNAME"",""MS WIN SERVER STANDARD CORE 2025 SLNG 2L"",""10=QUANTITY"",""16.000000"",""14=U_PONO"",""956382"",""15=U_PODATE"",""10/4/2025"",""10=U_TLINTCOS"",""0.000000"",""2=SLPCODE"",""149"",""14=SLPNAME"",""E0001-LMY"",""14=MEMO"",""KEVIN LIN MING YAO"",""14=CONTACTNAME"",""FINANCE DEP"&amp;"ARTMENT"",""10=LINETOTAL"",""2153.280000"",""14=U_ENR"","""",""14=U_MSENR"",""S7138270"",""14=U_MSPCN"",""B29CE2A2"",""14=ADDRESS2"",""ST ANDREW'S COMMUNITY HOSPITAL_x000D_8 SIMEI STREET 3 LEVEL 3, ADMINISTRATION  SINGAPORE 529895_x000D_KEVIN HAN_x000D_TEL: 6586 8117_x000D_FAX: _x000D_EMAIL: kevin_han@sa"&amp;"ch.org.sg"""</f>
        <v>"UICACS","","SQL=","2=DOCNUM","33038576","14=CUSTREF","4500019755","14=U_CUSTREF","4500019755","15=DOCDATE","14/4/2025","15=TAXDATE","14/4/2025","14=CARDCODE","CS0200-SGD","14=CARDNAME","ST ANDREW'S COMMUNITY HOSPITAL","14=ITEMCODE","MSEP2-24970GLP","14=ITEMNAME","MS WIN SERVER STANDARD CORE 2025 SLNG 2L","10=QUANTITY","16.000000","14=U_PONO","956382","15=U_PODATE","10/4/2025","10=U_TLINTCOS","0.000000","2=SLPCODE","149","14=SLPNAME","E0001-LMY","14=MEMO","KEVIN LIN MING YAO","14=CONTACTNAME","FINANCE DEPARTMENT","10=LINETOTAL","2153.280000","14=U_ENR","","14=U_MSENR","S7138270","14=U_MSPCN","B29CE2A2","14=ADDRESS2","ST ANDREW'S COMMUNITY HOSPITAL_x000D_8 SIMEI STREET 3 LEVEL 3, ADMINISTRATION  SINGAPORE 529895_x000D_KEVIN HAN_x000D_TEL: 6586 8117_x000D_FAX: _x000D_EMAIL: kevin_han@sach.org.sg"</v>
      </c>
      <c r="K30" s="19">
        <f>MONTH(N30)</f>
        <v>4</v>
      </c>
      <c r="L30" s="19">
        <f>YEAR(N30)</f>
        <v>2025</v>
      </c>
      <c r="M30" s="4">
        <v>33038576</v>
      </c>
      <c r="N30" s="30">
        <v>45761</v>
      </c>
      <c r="O30" s="19" t="str">
        <f>"S7138270"</f>
        <v>S7138270</v>
      </c>
      <c r="P30" s="19" t="str">
        <f>"B29CE2A2"</f>
        <v>B29CE2A2</v>
      </c>
      <c r="Q30" s="19"/>
      <c r="R30" s="19" t="str">
        <f>"CS0200-SGD"</f>
        <v>CS0200-SGD</v>
      </c>
      <c r="S30" s="4" t="str">
        <f>"ST ANDREW'S COMMUNITY HOSPITAL"</f>
        <v>ST ANDREW'S COMMUNITY HOSPITAL</v>
      </c>
      <c r="T30" s="19" t="str">
        <f>"4500019755"</f>
        <v>4500019755</v>
      </c>
      <c r="U30" s="42">
        <v>45757</v>
      </c>
      <c r="V30" s="42">
        <v>45761</v>
      </c>
      <c r="W30" s="43">
        <f>SUM(N30-U30)</f>
        <v>4</v>
      </c>
      <c r="X30" s="44" t="str">
        <f>"MSEP2-24970GLP"</f>
        <v>MSEP2-24970GLP</v>
      </c>
      <c r="Y30" s="44" t="str">
        <f>"MS WIN SERVER STANDARD CORE 2025 SLNG 2L"</f>
        <v>MS WIN SERVER STANDARD CORE 2025 SLNG 2L</v>
      </c>
      <c r="Z30" s="44" t="str">
        <f>"KEVIN LIN MING YAO"</f>
        <v>KEVIN LIN MING YAO</v>
      </c>
      <c r="AA30" s="43">
        <v>16</v>
      </c>
      <c r="AB30" s="28">
        <f>IFERROR(AC30/AA30,0)</f>
        <v>134.58000000000001</v>
      </c>
      <c r="AC30" s="31">
        <v>2153.2800000000002</v>
      </c>
      <c r="AD30" s="19" t="str">
        <f>"-"</f>
        <v>-</v>
      </c>
      <c r="AE30" s="45">
        <v>2153.2800000000002</v>
      </c>
      <c r="AF30" s="30" t="s">
        <v>72</v>
      </c>
      <c r="AG30" s="46" t="str">
        <f>"ST ANDREW'S COMMUNITY HOSPITAL_x000D_8 SIMEI STREET 3 LEVEL 3, ADMINISTRATION  SINGAPORE 529895_x000D_KEVIN HAN_x000D_TEL: 6586 8117_x000D_FAX: _x000D_EMAIL: kevin_han@sach.org.sg"</f>
        <v>ST ANDREW'S COMMUNITY HOSPITAL_x000D_8 SIMEI STREET 3 LEVEL 3, ADMINISTRATION  SINGAPORE 529895_x000D_KEVIN HAN_x000D_TEL: 6586 8117_x000D_FAX: _x000D_EMAIL: kevin_han@sach.org.sg</v>
      </c>
      <c r="AH30" s="47" t="s">
        <v>73</v>
      </c>
      <c r="AI30" s="47" t="s">
        <v>74</v>
      </c>
      <c r="AJ30" s="3" t="str">
        <f>"MSEP2-24970GLP"</f>
        <v>MSEP2-24970GLP</v>
      </c>
      <c r="AK30" s="3" t="str">
        <f>"MS WIN SERVER STANDARD CORE 2025 SLNG 2L"</f>
        <v>MS WIN SERVER STANDARD CORE 2025 SLNG 2L</v>
      </c>
      <c r="AL30" s="3" t="str">
        <f>"-"</f>
        <v>-</v>
      </c>
      <c r="AM30" s="19" t="str">
        <f>"-"</f>
        <v>-</v>
      </c>
      <c r="AN30" s="19" t="str">
        <f>"-"</f>
        <v>-</v>
      </c>
      <c r="AO30" s="19" t="str">
        <f>"-"</f>
        <v>-</v>
      </c>
    </row>
    <row r="31" spans="1:41">
      <c r="A31" s="1" t="s">
        <v>173</v>
      </c>
      <c r="B31" s="1" t="str">
        <f t="shared" si="0"/>
        <v>Show</v>
      </c>
      <c r="C31" s="4" t="s">
        <v>43</v>
      </c>
      <c r="E31" s="11" t="str">
        <f>"""UICACS"","""",""SQL="",""2=DOCNUM"",""33038576"",""14=CUSTREF"",""4500019755"",""14=U_CUSTREF"",""4500019755"",""15=DOCDATE"",""14/4/2025"",""15=TAXDATE"",""14/4/2025"",""14=CARDCODE"",""CS0200-SGD"",""14=CARDNAME"",""ST ANDREW'S COMMUNITY HOSPITAL"",""14=ITEMCODE"",""MSEP2-25016GLP"",""14=I"&amp;"TEMNAME"",""MS WIN SERVER DC CORE 2025 SLNG 2L"",""10=QUANTITY"",""96.000000"",""14=U_PONO"",""956382"",""15=U_PODATE"",""10/4/2025"",""10=U_TLINTCOS"",""0.000000"",""2=SLPCODE"",""149"",""14=SLPNAME"",""E0001-LMY"",""14=MEMO"",""KEVIN LIN MING YAO"",""14=CONTACTNAME"",""FINANCE DEPARTMEN"&amp;"T"",""10=LINETOTAL"",""73771.200000"",""14=U_ENR"","""",""14=U_MSENR"",""S7138270"",""14=U_MSPCN"",""B29CE2A2"",""14=ADDRESS2"",""ST ANDREW'S COMMUNITY HOSPITAL_x000D_8 SIMEI STREET 3 LEVEL 3, ADMINISTRATION  SINGAPORE 529895_x000D_KEVIN HAN_x000D_TEL: 6586 8117_x000D_FAX: _x000D_EMAIL: kevin_han@sach.or"&amp;"g.sg"""</f>
        <v>"UICACS","","SQL=","2=DOCNUM","33038576","14=CUSTREF","4500019755","14=U_CUSTREF","4500019755","15=DOCDATE","14/4/2025","15=TAXDATE","14/4/2025","14=CARDCODE","CS0200-SGD","14=CARDNAME","ST ANDREW'S COMMUNITY HOSPITAL","14=ITEMCODE","MSEP2-25016GLP","14=ITEMNAME","MS WIN SERVER DC CORE 2025 SLNG 2L","10=QUANTITY","96.000000","14=U_PONO","956382","15=U_PODATE","10/4/2025","10=U_TLINTCOS","0.000000","2=SLPCODE","149","14=SLPNAME","E0001-LMY","14=MEMO","KEVIN LIN MING YAO","14=CONTACTNAME","FINANCE DEPARTMENT","10=LINETOTAL","73771.200000","14=U_ENR","","14=U_MSENR","S7138270","14=U_MSPCN","B29CE2A2","14=ADDRESS2","ST ANDREW'S COMMUNITY HOSPITAL_x000D_8 SIMEI STREET 3 LEVEL 3, ADMINISTRATION  SINGAPORE 529895_x000D_KEVIN HAN_x000D_TEL: 6586 8117_x000D_FAX: _x000D_EMAIL: kevin_han@sach.org.sg"</v>
      </c>
      <c r="K31" s="19">
        <f>MONTH(N31)</f>
        <v>4</v>
      </c>
      <c r="L31" s="19">
        <f>YEAR(N31)</f>
        <v>2025</v>
      </c>
      <c r="M31" s="4">
        <v>33038576</v>
      </c>
      <c r="N31" s="30">
        <v>45761</v>
      </c>
      <c r="O31" s="19" t="str">
        <f>"S7138270"</f>
        <v>S7138270</v>
      </c>
      <c r="P31" s="19" t="str">
        <f>"B29CE2A2"</f>
        <v>B29CE2A2</v>
      </c>
      <c r="Q31" s="19"/>
      <c r="R31" s="19" t="str">
        <f>"CS0200-SGD"</f>
        <v>CS0200-SGD</v>
      </c>
      <c r="S31" s="4" t="str">
        <f>"ST ANDREW'S COMMUNITY HOSPITAL"</f>
        <v>ST ANDREW'S COMMUNITY HOSPITAL</v>
      </c>
      <c r="T31" s="19" t="str">
        <f>"4500019755"</f>
        <v>4500019755</v>
      </c>
      <c r="U31" s="42">
        <v>45757</v>
      </c>
      <c r="V31" s="42">
        <v>45761</v>
      </c>
      <c r="W31" s="43">
        <f>SUM(N31-U31)</f>
        <v>4</v>
      </c>
      <c r="X31" s="44" t="str">
        <f>"MSEP2-25016GLP"</f>
        <v>MSEP2-25016GLP</v>
      </c>
      <c r="Y31" s="44" t="str">
        <f>"MS WIN SERVER DC CORE 2025 SLNG 2L"</f>
        <v>MS WIN SERVER DC CORE 2025 SLNG 2L</v>
      </c>
      <c r="Z31" s="44" t="str">
        <f>"KEVIN LIN MING YAO"</f>
        <v>KEVIN LIN MING YAO</v>
      </c>
      <c r="AA31" s="43">
        <v>96</v>
      </c>
      <c r="AB31" s="28">
        <f>IFERROR(AC31/AA31,0)</f>
        <v>768.44999999999993</v>
      </c>
      <c r="AC31" s="31">
        <v>73771.199999999997</v>
      </c>
      <c r="AD31" s="19" t="str">
        <f>"-"</f>
        <v>-</v>
      </c>
      <c r="AE31" s="45">
        <v>73771.199999999997</v>
      </c>
      <c r="AF31" s="30" t="s">
        <v>72</v>
      </c>
      <c r="AG31" s="46" t="str">
        <f>"ST ANDREW'S COMMUNITY HOSPITAL_x000D_8 SIMEI STREET 3 LEVEL 3, ADMINISTRATION  SINGAPORE 529895_x000D_KEVIN HAN_x000D_TEL: 6586 8117_x000D_FAX: _x000D_EMAIL: kevin_han@sach.org.sg"</f>
        <v>ST ANDREW'S COMMUNITY HOSPITAL_x000D_8 SIMEI STREET 3 LEVEL 3, ADMINISTRATION  SINGAPORE 529895_x000D_KEVIN HAN_x000D_TEL: 6586 8117_x000D_FAX: _x000D_EMAIL: kevin_han@sach.org.sg</v>
      </c>
      <c r="AH31" s="47" t="s">
        <v>73</v>
      </c>
      <c r="AI31" s="47" t="s">
        <v>74</v>
      </c>
      <c r="AJ31" s="3" t="str">
        <f>"MSEP2-25016GLP"</f>
        <v>MSEP2-25016GLP</v>
      </c>
      <c r="AK31" s="3" t="str">
        <f>"MS WIN SERVER DC CORE 2025 SLNG 2L"</f>
        <v>MS WIN SERVER DC CORE 2025 SLNG 2L</v>
      </c>
      <c r="AL31" s="3" t="str">
        <f>"-"</f>
        <v>-</v>
      </c>
      <c r="AM31" s="19" t="str">
        <f>"-"</f>
        <v>-</v>
      </c>
      <c r="AN31" s="19" t="str">
        <f>"-"</f>
        <v>-</v>
      </c>
      <c r="AO31" s="19" t="str">
        <f>"-"</f>
        <v>-</v>
      </c>
    </row>
    <row r="32" spans="1:41">
      <c r="A32" s="1" t="s">
        <v>173</v>
      </c>
      <c r="B32" s="1" t="str">
        <f t="shared" si="0"/>
        <v>Show</v>
      </c>
      <c r="C32" s="4" t="s">
        <v>43</v>
      </c>
      <c r="E32" s="11" t="str">
        <f>"""UICACS"","""",""SQL="",""2=DOCNUM"",""33038629"",""14=CUSTREF"",""8725005266"",""14=U_CUSTREF"",""8725005266"",""15=DOCDATE"",""17/4/2025"",""15=TAXDATE"",""17/4/2025"",""14=CARDCODE"",""CI1232-SGD"",""14=CARDNAME"",""SINGAPORE GENERAL HOSPITAL PTE LTD"",""14=ITEMCODE"",""MS7JQ-01757GLP"","""&amp;"14=ITEMNAME"",""MS SQL SERVER ENTERPRISE CORE 2022 SLNG 2L"",""10=QUANTITY"",""5.000000"",""14=U_PONO"",""956456"",""15=U_PODATE"",""15/4/2025"",""10=U_TLINTCOS"",""0.000000"",""2=SLPCODE"",""132"",""14=SLPNAME"",""E0001-CS"",""14=MEMO"",""WENDY KUM CHIOU SZE"",""14=CONTACTNAME"",""FINANC"&amp;"E DEPARTMENT"",""10=LINETOTAL"",""67430.400000"",""14=U_ENR"","""",""14=U_MSENR"",""S7138270"",""14=U_MSPCN"",""8E125DFC"",""14=ADDRESS2"",""AMELIA TAY JIA LI_x000D_SINGAPORE GENERAL HOSPITAL PTE LTD SSU@SGH BLK 3 BASEMENT 1  SINGAPORE 168582_x000D_AMELIA TAY JIA LI_x000D_TEL: _x000D_FAX: _x000D_EMAIL: a"&amp;"melia.tay.j.l@sgh.com.sg"""</f>
        <v>"UICACS","","SQL=","2=DOCNUM","33038629","14=CUSTREF","8725005266","14=U_CUSTREF","8725005266","15=DOCDATE","17/4/2025","15=TAXDATE","17/4/2025","14=CARDCODE","CI1232-SGD","14=CARDNAME","SINGAPORE GENERAL HOSPITAL PTE LTD","14=ITEMCODE","MS7JQ-01757GLP","14=ITEMNAME","MS SQL SERVER ENTERPRISE CORE 2022 SLNG 2L","10=QUANTITY","5.000000","14=U_PONO","956456","15=U_PODATE","15/4/2025","10=U_TLINTCOS","0.000000","2=SLPCODE","132","14=SLPNAME","E0001-CS","14=MEMO","WENDY KUM CHIOU SZE","14=CONTACTNAME","FINANCE DEPARTMENT","10=LINETOTAL","67430.400000","14=U_ENR","","14=U_MSENR","S7138270","14=U_MSPCN","8E125DFC","14=ADDRESS2","AMELIA TAY JIA LI_x000D_SINGAPORE GENERAL HOSPITAL PTE LTD SSU@SGH BLK 3 BASEMENT 1  SINGAPORE 168582_x000D_AMELIA TAY JIA LI_x000D_TEL: _x000D_FAX: _x000D_EMAIL: amelia.tay.j.l@sgh.com.sg"</v>
      </c>
      <c r="K32" s="19">
        <f>MONTH(N32)</f>
        <v>4</v>
      </c>
      <c r="L32" s="19">
        <f>YEAR(N32)</f>
        <v>2025</v>
      </c>
      <c r="M32" s="4">
        <v>33038629</v>
      </c>
      <c r="N32" s="30">
        <v>45764</v>
      </c>
      <c r="O32" s="19" t="str">
        <f>"S7138270"</f>
        <v>S7138270</v>
      </c>
      <c r="P32" s="19" t="str">
        <f>"8E125DFC"</f>
        <v>8E125DFC</v>
      </c>
      <c r="Q32" s="19"/>
      <c r="R32" s="19" t="str">
        <f>"CI1232-SGD"</f>
        <v>CI1232-SGD</v>
      </c>
      <c r="S32" s="4" t="str">
        <f>"SINGAPORE GENERAL HOSPITAL PTE LTD"</f>
        <v>SINGAPORE GENERAL HOSPITAL PTE LTD</v>
      </c>
      <c r="T32" s="19" t="str">
        <f>"8725005266"</f>
        <v>8725005266</v>
      </c>
      <c r="U32" s="42">
        <v>45762</v>
      </c>
      <c r="V32" s="42">
        <v>45764</v>
      </c>
      <c r="W32" s="43">
        <f>SUM(N32-U32)</f>
        <v>2</v>
      </c>
      <c r="X32" s="44" t="str">
        <f>"MS7JQ-01757GLP"</f>
        <v>MS7JQ-01757GLP</v>
      </c>
      <c r="Y32" s="44" t="str">
        <f>"MS SQL SERVER ENTERPRISE CORE 2022 SLNG 2L"</f>
        <v>MS SQL SERVER ENTERPRISE CORE 2022 SLNG 2L</v>
      </c>
      <c r="Z32" s="44" t="str">
        <f>"WENDY KUM CHIOU SZE"</f>
        <v>WENDY KUM CHIOU SZE</v>
      </c>
      <c r="AA32" s="43">
        <v>5</v>
      </c>
      <c r="AB32" s="28">
        <f>IFERROR(AC32/AA32,0)</f>
        <v>13486.079999999998</v>
      </c>
      <c r="AC32" s="31">
        <v>67430.399999999994</v>
      </c>
      <c r="AD32" s="19" t="str">
        <f>"-"</f>
        <v>-</v>
      </c>
      <c r="AE32" s="45">
        <v>67430.399999999994</v>
      </c>
      <c r="AF32" s="30" t="s">
        <v>72</v>
      </c>
      <c r="AG32" s="46" t="str">
        <f>"AMELIA TAY JIA LI_x000D_SINGAPORE GENERAL HOSPITAL PTE LTD SSU@SGH BLK 3 BASEMENT 1  SINGAPORE 168582_x000D_AMELIA TAY JIA LI_x000D_TEL: _x000D_FAX: _x000D_EMAIL: amelia.tay.j.l@sgh.com.sg"</f>
        <v>AMELIA TAY JIA LI_x000D_SINGAPORE GENERAL HOSPITAL PTE LTD SSU@SGH BLK 3 BASEMENT 1  SINGAPORE 168582_x000D_AMELIA TAY JIA LI_x000D_TEL: _x000D_FAX: _x000D_EMAIL: amelia.tay.j.l@sgh.com.sg</v>
      </c>
      <c r="AH32" s="47" t="s">
        <v>73</v>
      </c>
      <c r="AI32" s="47" t="s">
        <v>74</v>
      </c>
      <c r="AJ32" s="3" t="str">
        <f>"MS7JQ-01757GLP"</f>
        <v>MS7JQ-01757GLP</v>
      </c>
      <c r="AK32" s="3" t="str">
        <f>"MS SQL SERVER ENTERPRISE CORE 2022 SLNG 2L"</f>
        <v>MS SQL SERVER ENTERPRISE CORE 2022 SLNG 2L</v>
      </c>
      <c r="AL32" s="3" t="str">
        <f>"-"</f>
        <v>-</v>
      </c>
      <c r="AM32" s="19" t="str">
        <f>"-"</f>
        <v>-</v>
      </c>
      <c r="AN32" s="19" t="str">
        <f>"-"</f>
        <v>-</v>
      </c>
      <c r="AO32" s="19" t="str">
        <f>"-"</f>
        <v>-</v>
      </c>
    </row>
    <row r="33" spans="1:44">
      <c r="A33" s="1" t="s">
        <v>173</v>
      </c>
      <c r="B33" s="1" t="str">
        <f t="shared" si="0"/>
        <v>Show</v>
      </c>
      <c r="C33" s="4" t="s">
        <v>43</v>
      </c>
      <c r="E33" s="11" t="str">
        <f>"""UICACS"","""",""SQL="",""2=DOCNUM"",""33038629"",""14=CUSTREF"",""8725005266"",""14=U_CUSTREF"",""8725005266"",""15=DOCDATE"",""17/4/2025"",""15=TAXDATE"",""17/4/2025"",""14=CARDCODE"",""CI1232-SGD"",""14=CARDNAME"",""SINGAPORE GENERAL HOSPITAL PTE LTD"",""14=ITEMCODE"",""MS7JQ-00353GLP"","""&amp;"14=ITEMNAME"",""MS SQL SERVER ENTERPRISE CORE SLNG LSA 2L"",""10=QUANTITY"",""1.000000"",""14=U_PONO"",""956456"",""15=U_PODATE"",""15/4/2025"",""10=U_TLINTCOS"",""0.000000"",""2=SLPCODE"",""132"",""14=SLPNAME"",""E0001-CS"",""14=MEMO"",""WENDY KUM CHIOU SZE"",""14=CONTACTNAME"",""FINANCE"&amp;" DEPARTMENT"",""10=LINETOTAL"",""21916.290000"",""14=U_ENR"","""",""14=U_MSENR"",""S7138270"",""14=U_MSPCN"",""8E125DFC"",""14=ADDRESS2"",""AMELIA TAY JIA LI_x000D_SINGAPORE GENERAL HOSPITAL PTE LTD SSU@SGH BLK 3 BASEMENT 1  SINGAPORE 168582_x000D_AMELIA TAY JIA LI_x000D_TEL: _x000D_FAX: _x000D_EMAIL: am"&amp;"elia.tay.j.l@sgh.com.sg"""</f>
        <v>"UICACS","","SQL=","2=DOCNUM","33038629","14=CUSTREF","8725005266","14=U_CUSTREF","8725005266","15=DOCDATE","17/4/2025","15=TAXDATE","17/4/2025","14=CARDCODE","CI1232-SGD","14=CARDNAME","SINGAPORE GENERAL HOSPITAL PTE LTD","14=ITEMCODE","MS7JQ-00353GLP","14=ITEMNAME","MS SQL SERVER ENTERPRISE CORE SLNG LSA 2L","10=QUANTITY","1.000000","14=U_PONO","956456","15=U_PODATE","15/4/2025","10=U_TLINTCOS","0.000000","2=SLPCODE","132","14=SLPNAME","E0001-CS","14=MEMO","WENDY KUM CHIOU SZE","14=CONTACTNAME","FINANCE DEPARTMENT","10=LINETOTAL","21916.290000","14=U_ENR","","14=U_MSENR","S7138270","14=U_MSPCN","8E125DFC","14=ADDRESS2","AMELIA TAY JIA LI_x000D_SINGAPORE GENERAL HOSPITAL PTE LTD SSU@SGH BLK 3 BASEMENT 1  SINGAPORE 168582_x000D_AMELIA TAY JIA LI_x000D_TEL: _x000D_FAX: _x000D_EMAIL: amelia.tay.j.l@sgh.com.sg"</v>
      </c>
      <c r="K33" s="19">
        <f>MONTH(N33)</f>
        <v>4</v>
      </c>
      <c r="L33" s="19">
        <f>YEAR(N33)</f>
        <v>2025</v>
      </c>
      <c r="M33" s="4">
        <v>33038629</v>
      </c>
      <c r="N33" s="30">
        <v>45764</v>
      </c>
      <c r="O33" s="19" t="str">
        <f>"S7138270"</f>
        <v>S7138270</v>
      </c>
      <c r="P33" s="19" t="str">
        <f>"8E125DFC"</f>
        <v>8E125DFC</v>
      </c>
      <c r="Q33" s="19"/>
      <c r="R33" s="19" t="str">
        <f>"CI1232-SGD"</f>
        <v>CI1232-SGD</v>
      </c>
      <c r="S33" s="4" t="str">
        <f>"SINGAPORE GENERAL HOSPITAL PTE LTD"</f>
        <v>SINGAPORE GENERAL HOSPITAL PTE LTD</v>
      </c>
      <c r="T33" s="19" t="str">
        <f>"8725005266"</f>
        <v>8725005266</v>
      </c>
      <c r="U33" s="42">
        <v>45762</v>
      </c>
      <c r="V33" s="42">
        <v>45764</v>
      </c>
      <c r="W33" s="43">
        <f>SUM(N33-U33)</f>
        <v>2</v>
      </c>
      <c r="X33" s="44" t="str">
        <f>"MS7JQ-00353GLP"</f>
        <v>MS7JQ-00353GLP</v>
      </c>
      <c r="Y33" s="44" t="str">
        <f>"MS SQL SERVER ENTERPRISE CORE SLNG LSA 2L"</f>
        <v>MS SQL SERVER ENTERPRISE CORE SLNG LSA 2L</v>
      </c>
      <c r="Z33" s="44" t="str">
        <f>"WENDY KUM CHIOU SZE"</f>
        <v>WENDY KUM CHIOU SZE</v>
      </c>
      <c r="AA33" s="43">
        <v>1</v>
      </c>
      <c r="AB33" s="28">
        <f>IFERROR(AC33/AA33,0)</f>
        <v>21916.29</v>
      </c>
      <c r="AC33" s="31">
        <v>21916.29</v>
      </c>
      <c r="AD33" s="19" t="str">
        <f>"-"</f>
        <v>-</v>
      </c>
      <c r="AE33" s="45">
        <v>21916.29</v>
      </c>
      <c r="AF33" s="30" t="s">
        <v>72</v>
      </c>
      <c r="AG33" s="46" t="str">
        <f>"AMELIA TAY JIA LI_x000D_SINGAPORE GENERAL HOSPITAL PTE LTD SSU@SGH BLK 3 BASEMENT 1  SINGAPORE 168582_x000D_AMELIA TAY JIA LI_x000D_TEL: _x000D_FAX: _x000D_EMAIL: amelia.tay.j.l@sgh.com.sg"</f>
        <v>AMELIA TAY JIA LI_x000D_SINGAPORE GENERAL HOSPITAL PTE LTD SSU@SGH BLK 3 BASEMENT 1  SINGAPORE 168582_x000D_AMELIA TAY JIA LI_x000D_TEL: _x000D_FAX: _x000D_EMAIL: amelia.tay.j.l@sgh.com.sg</v>
      </c>
      <c r="AH33" s="47" t="s">
        <v>73</v>
      </c>
      <c r="AI33" s="47" t="s">
        <v>74</v>
      </c>
      <c r="AJ33" s="3" t="str">
        <f>"MS7JQ-00353GLP"</f>
        <v>MS7JQ-00353GLP</v>
      </c>
      <c r="AK33" s="3" t="str">
        <f>"MS SQL SERVER ENTERPRISE CORE SLNG LSA 2L"</f>
        <v>MS SQL SERVER ENTERPRISE CORE SLNG LSA 2L</v>
      </c>
      <c r="AL33" s="3" t="s">
        <v>442</v>
      </c>
      <c r="AM33" s="19" t="s">
        <v>441</v>
      </c>
      <c r="AN33" s="19" t="s">
        <v>440</v>
      </c>
      <c r="AO33" s="19" t="str">
        <f>"-"</f>
        <v>-</v>
      </c>
    </row>
    <row r="34" spans="1:44" hidden="1">
      <c r="B34" s="1" t="str">
        <f>IF(K34="","Hide","Show")</f>
        <v>Hide</v>
      </c>
      <c r="C34" s="4" t="s">
        <v>44</v>
      </c>
      <c r="E34" s="11" t="str">
        <f>""</f>
        <v/>
      </c>
      <c r="K34" s="4" t="str">
        <f>""</f>
        <v/>
      </c>
      <c r="L34" s="30" t="str">
        <f>""</f>
        <v/>
      </c>
      <c r="M34" s="4" t="str">
        <f>""</f>
        <v/>
      </c>
      <c r="N34" s="4" t="str">
        <f>""</f>
        <v/>
      </c>
      <c r="O34" s="4" t="str">
        <f>""</f>
        <v/>
      </c>
      <c r="P34" s="4" t="str">
        <f>""</f>
        <v/>
      </c>
      <c r="Q34" s="3" t="str">
        <f>""</f>
        <v/>
      </c>
      <c r="R34" s="5"/>
      <c r="S34" s="4" t="str">
        <f>""</f>
        <v/>
      </c>
      <c r="T34" s="4" t="str">
        <f>""</f>
        <v/>
      </c>
      <c r="U34" s="4" t="str">
        <f>""</f>
        <v/>
      </c>
      <c r="V34" s="17" t="str">
        <f>""</f>
        <v/>
      </c>
      <c r="W34" s="4" t="str">
        <f>""</f>
        <v/>
      </c>
      <c r="X34" s="16" t="str">
        <f>""</f>
        <v/>
      </c>
      <c r="Y34" s="5" t="str">
        <f>""</f>
        <v/>
      </c>
      <c r="Z34" s="4" t="str">
        <f>""</f>
        <v/>
      </c>
      <c r="AA34" s="47">
        <f>IFERROR(AB34/V34,0)</f>
        <v>0</v>
      </c>
      <c r="AB34" s="28" t="str">
        <f>""</f>
        <v/>
      </c>
    </row>
    <row r="35" spans="1:44" hidden="1">
      <c r="B35" s="1" t="str">
        <f>IF(K35="","Hide","Show")</f>
        <v>Hide</v>
      </c>
      <c r="C35" s="4" t="s">
        <v>45</v>
      </c>
      <c r="E35" s="11" t="str">
        <f>""</f>
        <v/>
      </c>
      <c r="K35" s="4" t="str">
        <f>""</f>
        <v/>
      </c>
      <c r="L35" s="30" t="str">
        <f>""</f>
        <v/>
      </c>
      <c r="M35" s="4" t="str">
        <f>""</f>
        <v/>
      </c>
      <c r="N35" s="4" t="str">
        <f>""</f>
        <v/>
      </c>
      <c r="O35" s="4" t="str">
        <f>""</f>
        <v/>
      </c>
      <c r="P35" s="4" t="str">
        <f>""</f>
        <v/>
      </c>
      <c r="Q35" s="3" t="str">
        <f>""</f>
        <v/>
      </c>
      <c r="R35" s="5"/>
      <c r="S35" s="4" t="str">
        <f>""</f>
        <v/>
      </c>
      <c r="T35" s="4" t="str">
        <f>""</f>
        <v/>
      </c>
      <c r="U35" s="4" t="str">
        <f>""</f>
        <v/>
      </c>
      <c r="V35" s="17" t="str">
        <f>""</f>
        <v/>
      </c>
      <c r="W35" s="4" t="str">
        <f>""</f>
        <v/>
      </c>
      <c r="X35" s="16" t="str">
        <f>""</f>
        <v/>
      </c>
      <c r="Y35" s="5" t="str">
        <f>""</f>
        <v/>
      </c>
      <c r="Z35" s="4" t="str">
        <f>""</f>
        <v/>
      </c>
      <c r="AA35" s="47">
        <f>IFERROR(AB35/V35,0)</f>
        <v>0</v>
      </c>
      <c r="AB35" s="28" t="str">
        <f>""</f>
        <v/>
      </c>
    </row>
    <row r="36" spans="1:44">
      <c r="AA36" s="31"/>
    </row>
    <row r="37" spans="1:44">
      <c r="AI37" s="14"/>
    </row>
    <row r="38" spans="1:44">
      <c r="AP38" s="14"/>
    </row>
    <row r="39" spans="1:44">
      <c r="AQ39" s="14"/>
    </row>
    <row r="40" spans="1:44">
      <c r="AR40" s="14"/>
    </row>
  </sheetData>
  <sortState xmlns:xlrd2="http://schemas.microsoft.com/office/spreadsheetml/2017/richdata2" ref="K24:AB24">
    <sortCondition ref="N24"/>
  </sortState>
  <mergeCells count="1">
    <mergeCell ref="K21:Z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17852-5CFC-4F6B-A694-0A65C14A8F52}">
  <dimension ref="A1:B8"/>
  <sheetViews>
    <sheetView topLeftCell="B2" workbookViewId="0">
      <selection activeCell="B8" sqref="B8"/>
    </sheetView>
  </sheetViews>
  <sheetFormatPr defaultRowHeight="15"/>
  <cols>
    <col min="1" max="1" width="8.85546875" hidden="1" customWidth="1"/>
    <col min="2" max="2" width="13.42578125" customWidth="1"/>
  </cols>
  <sheetData>
    <row r="1" spans="1:2" hidden="1">
      <c r="A1" t="s">
        <v>76</v>
      </c>
    </row>
    <row r="5" spans="1:2">
      <c r="B5" s="48" t="s">
        <v>75</v>
      </c>
    </row>
    <row r="7" spans="1:2">
      <c r="B7" s="6" t="str">
        <f>"'CI1077-SGD', 'CI1136-SGD', 'CI1137-SGD', 'CI1139-SGD', 'CI1146-SGD', 'CI1185-SGD', 'CI1190-SGD','CI1209-SGD','CI1232-SGD','CI1256-SGD','CN0015-SGD','CE0080-SGD','CS0084-SGD',"</f>
        <v>'CI1077-SGD', 'CI1136-SGD', 'CI1137-SGD', 'CI1139-SGD', 'CI1146-SGD', 'CI1185-SGD', 'CI1190-SGD','CI1209-SGD','CI1232-SGD','CI1256-SGD','CN0015-SGD','CE0080-SGD','CS0084-SGD',</v>
      </c>
    </row>
    <row r="8" spans="1:2">
      <c r="B8" s="4" t="str">
        <f>"'CS0085-SGD','CI1238-SGD','CI1190-SGD','CS0086-SGD','CS0507-SGD','CS0507-SGD','CI1261-SGD','CS0085-SGD','CC0128-SGD','CS0222-SGD','CS0226-SGD','CS0653-SGD','CI1277-SGD','CB0059-SGD''CS0678-SGD','CS0653-SGD','CS0276-SGD','CS0200-SGD'"</f>
        <v>'CS0085-SGD','CI1238-SGD','CI1190-SGD','CS0086-SGD','CS0507-SGD','CS0507-SGD','CI1261-SGD','CS0085-SGD','CC0128-SGD','CS0222-SGD','CS0226-SGD','CS0653-SGD','CI1277-SGD','CB0059-SGD''CS0678-SGD','CS0653-SGD','CS0276-SGD','CS0200-SGD'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BE37D9-F99E-4642-A4CE-935BF612AC1B}">
  <dimension ref="A1:E30"/>
  <sheetViews>
    <sheetView workbookViewId="0"/>
  </sheetViews>
  <sheetFormatPr defaultRowHeight="15"/>
  <sheetData>
    <row r="1" spans="1:5">
      <c r="A1" s="50" t="s">
        <v>89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77</v>
      </c>
    </row>
    <row r="4" spans="1:5">
      <c r="A4" s="50" t="s">
        <v>0</v>
      </c>
      <c r="B4" s="50" t="s">
        <v>6</v>
      </c>
      <c r="C4" s="50" t="s">
        <v>78</v>
      </c>
    </row>
    <row r="5" spans="1:5">
      <c r="A5" s="50" t="s">
        <v>0</v>
      </c>
      <c r="B5" s="50" t="s">
        <v>25</v>
      </c>
      <c r="C5" s="50" t="s">
        <v>79</v>
      </c>
      <c r="D5" s="50" t="s">
        <v>80</v>
      </c>
      <c r="E5" s="50" t="s">
        <v>51</v>
      </c>
    </row>
    <row r="8" spans="1:5">
      <c r="A8" s="50" t="s">
        <v>8</v>
      </c>
      <c r="C8" s="50" t="s">
        <v>81</v>
      </c>
    </row>
    <row r="9" spans="1:5">
      <c r="A9" s="50" t="s">
        <v>9</v>
      </c>
      <c r="C9" s="50" t="s">
        <v>82</v>
      </c>
    </row>
    <row r="10" spans="1:5">
      <c r="B10" s="50" t="s">
        <v>37</v>
      </c>
      <c r="C10" s="50" t="s">
        <v>83</v>
      </c>
    </row>
    <row r="11" spans="1:5">
      <c r="B11" s="50" t="s">
        <v>35</v>
      </c>
      <c r="C11" s="50" t="s">
        <v>83</v>
      </c>
    </row>
    <row r="12" spans="1:5">
      <c r="B12" s="50" t="s">
        <v>38</v>
      </c>
      <c r="C12" s="50" t="s">
        <v>84</v>
      </c>
    </row>
    <row r="13" spans="1:5">
      <c r="B13" s="50" t="s">
        <v>39</v>
      </c>
      <c r="C13" s="50" t="s">
        <v>85</v>
      </c>
      <c r="D13" s="50" t="s">
        <v>86</v>
      </c>
    </row>
    <row r="14" spans="1:5">
      <c r="D14" s="50" t="s">
        <v>87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86</v>
      </c>
    </row>
    <row r="30" spans="3:4">
      <c r="D30" s="50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B1572-2A93-4495-823C-8B60ED288F81}">
  <dimension ref="A1:E30"/>
  <sheetViews>
    <sheetView workbookViewId="0"/>
  </sheetViews>
  <sheetFormatPr defaultRowHeight="15"/>
  <sheetData>
    <row r="1" spans="1:5">
      <c r="A1" s="50" t="s">
        <v>89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77</v>
      </c>
    </row>
    <row r="4" spans="1:5">
      <c r="A4" s="50" t="s">
        <v>0</v>
      </c>
      <c r="B4" s="50" t="s">
        <v>6</v>
      </c>
      <c r="C4" s="50" t="s">
        <v>78</v>
      </c>
    </row>
    <row r="5" spans="1:5">
      <c r="A5" s="50" t="s">
        <v>0</v>
      </c>
      <c r="B5" s="50" t="s">
        <v>25</v>
      </c>
      <c r="C5" s="50" t="s">
        <v>79</v>
      </c>
      <c r="D5" s="50" t="s">
        <v>80</v>
      </c>
      <c r="E5" s="50" t="s">
        <v>51</v>
      </c>
    </row>
    <row r="8" spans="1:5">
      <c r="A8" s="50" t="s">
        <v>8</v>
      </c>
      <c r="C8" s="50" t="s">
        <v>81</v>
      </c>
    </row>
    <row r="9" spans="1:5">
      <c r="A9" s="50" t="s">
        <v>9</v>
      </c>
      <c r="C9" s="50" t="s">
        <v>82</v>
      </c>
    </row>
    <row r="10" spans="1:5">
      <c r="B10" s="50" t="s">
        <v>37</v>
      </c>
      <c r="C10" s="50" t="s">
        <v>83</v>
      </c>
    </row>
    <row r="11" spans="1:5">
      <c r="B11" s="50" t="s">
        <v>35</v>
      </c>
      <c r="C11" s="50" t="s">
        <v>83</v>
      </c>
    </row>
    <row r="12" spans="1:5">
      <c r="B12" s="50" t="s">
        <v>38</v>
      </c>
      <c r="C12" s="50" t="s">
        <v>84</v>
      </c>
    </row>
    <row r="13" spans="1:5">
      <c r="B13" s="50" t="s">
        <v>39</v>
      </c>
      <c r="C13" s="50" t="s">
        <v>85</v>
      </c>
      <c r="D13" s="50" t="s">
        <v>86</v>
      </c>
    </row>
    <row r="14" spans="1:5">
      <c r="D14" s="50" t="s">
        <v>87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86</v>
      </c>
    </row>
    <row r="30" spans="3:4">
      <c r="D30" s="50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825E5-E885-4FCF-B02B-8EE482EBD3B1}">
  <dimension ref="A1:AO28"/>
  <sheetViews>
    <sheetView workbookViewId="0"/>
  </sheetViews>
  <sheetFormatPr defaultRowHeight="15"/>
  <sheetData>
    <row r="1" spans="1:34">
      <c r="A1" s="50" t="s">
        <v>172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U1" s="50" t="s">
        <v>17</v>
      </c>
      <c r="V1" s="50" t="s">
        <v>17</v>
      </c>
      <c r="W1" s="50" t="s">
        <v>17</v>
      </c>
      <c r="X1" s="50" t="s">
        <v>7</v>
      </c>
      <c r="Y1" s="50" t="s">
        <v>7</v>
      </c>
      <c r="Z1" s="50" t="s">
        <v>17</v>
      </c>
      <c r="AA1" s="50" t="s">
        <v>17</v>
      </c>
      <c r="AB1" s="50" t="s">
        <v>17</v>
      </c>
      <c r="AG1" s="50" t="s">
        <v>7</v>
      </c>
      <c r="AH1" s="50" t="s">
        <v>7</v>
      </c>
    </row>
    <row r="2" spans="1:34">
      <c r="A2" s="50" t="s">
        <v>7</v>
      </c>
      <c r="D2" s="50" t="s">
        <v>18</v>
      </c>
      <c r="E2" s="50" t="s">
        <v>90</v>
      </c>
    </row>
    <row r="3" spans="1:34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4">
      <c r="A4" s="50" t="s">
        <v>7</v>
      </c>
      <c r="C4" s="50" t="s">
        <v>11</v>
      </c>
      <c r="D4" s="50" t="s">
        <v>91</v>
      </c>
      <c r="E4" s="50" t="s">
        <v>92</v>
      </c>
      <c r="F4" s="50" t="s">
        <v>46</v>
      </c>
      <c r="G4" s="50" t="s">
        <v>24</v>
      </c>
      <c r="H4" s="50" t="s">
        <v>93</v>
      </c>
    </row>
    <row r="5" spans="1:34">
      <c r="A5" s="50" t="s">
        <v>7</v>
      </c>
      <c r="C5" s="50" t="s">
        <v>10</v>
      </c>
      <c r="D5" s="50" t="s">
        <v>94</v>
      </c>
      <c r="E5" s="50" t="s">
        <v>95</v>
      </c>
      <c r="F5" s="50" t="s">
        <v>47</v>
      </c>
      <c r="G5" s="50" t="s">
        <v>24</v>
      </c>
      <c r="H5" s="50" t="s">
        <v>93</v>
      </c>
      <c r="I5" s="50" t="s">
        <v>96</v>
      </c>
    </row>
    <row r="6" spans="1:34">
      <c r="A6" s="50" t="s">
        <v>7</v>
      </c>
      <c r="C6" s="50" t="s">
        <v>36</v>
      </c>
      <c r="D6" s="50" t="s">
        <v>97</v>
      </c>
      <c r="E6" s="50" t="s">
        <v>98</v>
      </c>
      <c r="F6" s="50" t="s">
        <v>47</v>
      </c>
      <c r="G6" s="50" t="s">
        <v>24</v>
      </c>
      <c r="H6" s="50" t="s">
        <v>93</v>
      </c>
      <c r="I6" s="50" t="s">
        <v>99</v>
      </c>
    </row>
    <row r="7" spans="1:34">
      <c r="A7" s="50" t="s">
        <v>7</v>
      </c>
    </row>
    <row r="8" spans="1:34">
      <c r="A8" s="50" t="s">
        <v>7</v>
      </c>
    </row>
    <row r="9" spans="1:34">
      <c r="A9" s="50" t="s">
        <v>7</v>
      </c>
    </row>
    <row r="10" spans="1:34">
      <c r="A10" s="50" t="s">
        <v>7</v>
      </c>
    </row>
    <row r="11" spans="1:34">
      <c r="A11" s="50" t="s">
        <v>7</v>
      </c>
      <c r="C11" s="50" t="s">
        <v>26</v>
      </c>
      <c r="E11" s="50" t="s">
        <v>100</v>
      </c>
    </row>
    <row r="12" spans="1:34">
      <c r="A12" s="50" t="s">
        <v>7</v>
      </c>
      <c r="C12" s="50" t="s">
        <v>27</v>
      </c>
      <c r="E12" s="50" t="s">
        <v>101</v>
      </c>
    </row>
    <row r="13" spans="1:34">
      <c r="A13" s="50" t="s">
        <v>7</v>
      </c>
      <c r="C13" s="50" t="s">
        <v>37</v>
      </c>
      <c r="E13" s="50" t="s">
        <v>102</v>
      </c>
    </row>
    <row r="14" spans="1:34">
      <c r="A14" s="50" t="s">
        <v>7</v>
      </c>
      <c r="C14" s="50" t="s">
        <v>35</v>
      </c>
      <c r="E14" s="50" t="s">
        <v>103</v>
      </c>
    </row>
    <row r="15" spans="1:34">
      <c r="A15" s="50" t="s">
        <v>7</v>
      </c>
      <c r="C15" s="50" t="s">
        <v>38</v>
      </c>
      <c r="E15" s="50" t="s">
        <v>104</v>
      </c>
    </row>
    <row r="16" spans="1:34">
      <c r="A16" s="50" t="s">
        <v>7</v>
      </c>
      <c r="C16" s="50" t="s">
        <v>39</v>
      </c>
      <c r="E16" s="50" t="s">
        <v>105</v>
      </c>
    </row>
    <row r="17" spans="1:41">
      <c r="A17" s="50" t="s">
        <v>7</v>
      </c>
    </row>
    <row r="18" spans="1:41">
      <c r="A18" s="50" t="s">
        <v>7</v>
      </c>
    </row>
    <row r="21" spans="1:41">
      <c r="K21" s="50" t="s">
        <v>40</v>
      </c>
    </row>
    <row r="23" spans="1:41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16</v>
      </c>
      <c r="V23" s="50" t="s">
        <v>58</v>
      </c>
      <c r="W23" s="50" t="s">
        <v>59</v>
      </c>
      <c r="X23" s="50" t="s">
        <v>33</v>
      </c>
      <c r="Y23" s="50" t="s">
        <v>12</v>
      </c>
      <c r="Z23" s="50" t="s">
        <v>31</v>
      </c>
      <c r="AA23" s="50" t="s">
        <v>13</v>
      </c>
      <c r="AB23" s="50" t="s">
        <v>49</v>
      </c>
      <c r="AC23" s="50" t="s">
        <v>50</v>
      </c>
      <c r="AD23" s="50" t="s">
        <v>60</v>
      </c>
      <c r="AE23" s="50" t="s">
        <v>61</v>
      </c>
      <c r="AF23" s="50" t="s">
        <v>62</v>
      </c>
      <c r="AG23" s="50" t="s">
        <v>63</v>
      </c>
      <c r="AH23" s="50" t="s">
        <v>64</v>
      </c>
      <c r="AI23" s="50" t="s">
        <v>65</v>
      </c>
      <c r="AJ23" s="50" t="s">
        <v>66</v>
      </c>
      <c r="AK23" s="50" t="s">
        <v>67</v>
      </c>
      <c r="AL23" s="50" t="s">
        <v>68</v>
      </c>
      <c r="AM23" s="50" t="s">
        <v>69</v>
      </c>
      <c r="AN23" s="50" t="s">
        <v>70</v>
      </c>
      <c r="AO23" s="50" t="s">
        <v>71</v>
      </c>
    </row>
    <row r="24" spans="1:41">
      <c r="B24" s="50" t="s">
        <v>106</v>
      </c>
      <c r="C24" s="50" t="s">
        <v>43</v>
      </c>
      <c r="E24" s="50" t="s">
        <v>107</v>
      </c>
      <c r="K24" s="50" t="s">
        <v>108</v>
      </c>
      <c r="L24" s="50" t="s">
        <v>109</v>
      </c>
      <c r="M24" s="50" t="s">
        <v>110</v>
      </c>
      <c r="N24" s="50" t="s">
        <v>111</v>
      </c>
      <c r="O24" s="50" t="s">
        <v>112</v>
      </c>
      <c r="P24" s="50" t="s">
        <v>113</v>
      </c>
      <c r="R24" s="50" t="s">
        <v>114</v>
      </c>
      <c r="S24" s="50" t="s">
        <v>115</v>
      </c>
      <c r="T24" s="50" t="s">
        <v>116</v>
      </c>
      <c r="U24" s="50" t="s">
        <v>117</v>
      </c>
      <c r="V24" s="50" t="s">
        <v>118</v>
      </c>
      <c r="W24" s="50" t="s">
        <v>119</v>
      </c>
      <c r="X24" s="50" t="s">
        <v>120</v>
      </c>
      <c r="Y24" s="50" t="s">
        <v>121</v>
      </c>
      <c r="Z24" s="50" t="s">
        <v>122</v>
      </c>
      <c r="AA24" s="50" t="s">
        <v>123</v>
      </c>
      <c r="AB24" s="50" t="s">
        <v>124</v>
      </c>
      <c r="AC24" s="50" t="s">
        <v>125</v>
      </c>
      <c r="AD24" s="50" t="s">
        <v>126</v>
      </c>
      <c r="AE24" s="50" t="s">
        <v>125</v>
      </c>
      <c r="AF24" s="50" t="s">
        <v>72</v>
      </c>
      <c r="AG24" s="50" t="s">
        <v>127</v>
      </c>
      <c r="AH24" s="50" t="s">
        <v>73</v>
      </c>
      <c r="AI24" s="50" t="s">
        <v>74</v>
      </c>
      <c r="AJ24" s="50" t="s">
        <v>128</v>
      </c>
      <c r="AK24" s="50" t="s">
        <v>129</v>
      </c>
      <c r="AL24" s="50" t="s">
        <v>130</v>
      </c>
      <c r="AM24" s="50" t="s">
        <v>131</v>
      </c>
      <c r="AN24" s="50" t="s">
        <v>132</v>
      </c>
      <c r="AO24" s="50" t="s">
        <v>133</v>
      </c>
    </row>
    <row r="25" spans="1:41">
      <c r="B25" s="50" t="s">
        <v>134</v>
      </c>
      <c r="C25" s="50" t="s">
        <v>44</v>
      </c>
      <c r="E25" s="50" t="s">
        <v>135</v>
      </c>
      <c r="K25" s="50" t="s">
        <v>136</v>
      </c>
      <c r="L25" s="50" t="s">
        <v>137</v>
      </c>
      <c r="M25" s="50" t="s">
        <v>138</v>
      </c>
      <c r="N25" s="50" t="s">
        <v>139</v>
      </c>
      <c r="O25" s="50" t="s">
        <v>140</v>
      </c>
      <c r="P25" s="50" t="s">
        <v>141</v>
      </c>
      <c r="Q25" s="50" t="s">
        <v>142</v>
      </c>
      <c r="S25" s="50" t="s">
        <v>141</v>
      </c>
      <c r="T25" s="50" t="s">
        <v>143</v>
      </c>
      <c r="U25" s="50" t="s">
        <v>144</v>
      </c>
      <c r="V25" s="50" t="s">
        <v>145</v>
      </c>
      <c r="W25" s="50" t="s">
        <v>146</v>
      </c>
      <c r="X25" s="50" t="s">
        <v>147</v>
      </c>
      <c r="Y25" s="50" t="s">
        <v>148</v>
      </c>
      <c r="Z25" s="50" t="s">
        <v>149</v>
      </c>
      <c r="AA25" s="50" t="s">
        <v>150</v>
      </c>
      <c r="AB25" s="50" t="s">
        <v>151</v>
      </c>
    </row>
    <row r="26" spans="1:41">
      <c r="B26" s="50" t="s">
        <v>152</v>
      </c>
      <c r="C26" s="50" t="s">
        <v>45</v>
      </c>
      <c r="E26" s="50" t="s">
        <v>153</v>
      </c>
      <c r="K26" s="50" t="s">
        <v>154</v>
      </c>
      <c r="L26" s="50" t="s">
        <v>155</v>
      </c>
      <c r="M26" s="50" t="s">
        <v>156</v>
      </c>
      <c r="N26" s="50" t="s">
        <v>157</v>
      </c>
      <c r="O26" s="50" t="s">
        <v>158</v>
      </c>
      <c r="P26" s="50" t="s">
        <v>159</v>
      </c>
      <c r="Q26" s="50" t="s">
        <v>160</v>
      </c>
      <c r="S26" s="50" t="s">
        <v>159</v>
      </c>
      <c r="T26" s="50" t="s">
        <v>161</v>
      </c>
      <c r="U26" s="50" t="s">
        <v>162</v>
      </c>
      <c r="V26" s="50" t="s">
        <v>163</v>
      </c>
      <c r="W26" s="50" t="s">
        <v>164</v>
      </c>
      <c r="X26" s="50" t="s">
        <v>165</v>
      </c>
      <c r="Y26" s="50" t="s">
        <v>166</v>
      </c>
      <c r="Z26" s="50" t="s">
        <v>167</v>
      </c>
      <c r="AA26" s="50" t="s">
        <v>168</v>
      </c>
      <c r="AB26" s="50" t="s">
        <v>169</v>
      </c>
    </row>
    <row r="28" spans="1:41">
      <c r="AA28" s="50" t="s">
        <v>170</v>
      </c>
      <c r="AB28" s="50" t="s">
        <v>171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92C0E-5D6A-4906-93AF-CA3CC864DEBC}">
  <dimension ref="A1:AO28"/>
  <sheetViews>
    <sheetView workbookViewId="0"/>
  </sheetViews>
  <sheetFormatPr defaultRowHeight="15"/>
  <sheetData>
    <row r="1" spans="1:34">
      <c r="A1" s="50" t="s">
        <v>172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U1" s="50" t="s">
        <v>17</v>
      </c>
      <c r="V1" s="50" t="s">
        <v>17</v>
      </c>
      <c r="W1" s="50" t="s">
        <v>17</v>
      </c>
      <c r="X1" s="50" t="s">
        <v>7</v>
      </c>
      <c r="Y1" s="50" t="s">
        <v>7</v>
      </c>
      <c r="Z1" s="50" t="s">
        <v>17</v>
      </c>
      <c r="AA1" s="50" t="s">
        <v>17</v>
      </c>
      <c r="AB1" s="50" t="s">
        <v>17</v>
      </c>
      <c r="AG1" s="50" t="s">
        <v>7</v>
      </c>
      <c r="AH1" s="50" t="s">
        <v>7</v>
      </c>
    </row>
    <row r="2" spans="1:34">
      <c r="A2" s="50" t="s">
        <v>7</v>
      </c>
      <c r="D2" s="50" t="s">
        <v>18</v>
      </c>
      <c r="E2" s="50" t="s">
        <v>90</v>
      </c>
    </row>
    <row r="3" spans="1:34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4">
      <c r="A4" s="50" t="s">
        <v>7</v>
      </c>
      <c r="C4" s="50" t="s">
        <v>11</v>
      </c>
      <c r="D4" s="50" t="s">
        <v>91</v>
      </c>
      <c r="E4" s="50" t="s">
        <v>92</v>
      </c>
      <c r="F4" s="50" t="s">
        <v>46</v>
      </c>
      <c r="G4" s="50" t="s">
        <v>24</v>
      </c>
      <c r="H4" s="50" t="s">
        <v>93</v>
      </c>
    </row>
    <row r="5" spans="1:34">
      <c r="A5" s="50" t="s">
        <v>7</v>
      </c>
      <c r="C5" s="50" t="s">
        <v>10</v>
      </c>
      <c r="D5" s="50" t="s">
        <v>94</v>
      </c>
      <c r="E5" s="50" t="s">
        <v>95</v>
      </c>
      <c r="F5" s="50" t="s">
        <v>47</v>
      </c>
      <c r="G5" s="50" t="s">
        <v>24</v>
      </c>
      <c r="H5" s="50" t="s">
        <v>93</v>
      </c>
      <c r="I5" s="50" t="s">
        <v>96</v>
      </c>
    </row>
    <row r="6" spans="1:34">
      <c r="A6" s="50" t="s">
        <v>7</v>
      </c>
      <c r="C6" s="50" t="s">
        <v>36</v>
      </c>
      <c r="D6" s="50" t="s">
        <v>97</v>
      </c>
      <c r="E6" s="50" t="s">
        <v>98</v>
      </c>
      <c r="F6" s="50" t="s">
        <v>47</v>
      </c>
      <c r="G6" s="50" t="s">
        <v>24</v>
      </c>
      <c r="H6" s="50" t="s">
        <v>93</v>
      </c>
      <c r="I6" s="50" t="s">
        <v>99</v>
      </c>
    </row>
    <row r="7" spans="1:34">
      <c r="A7" s="50" t="s">
        <v>7</v>
      </c>
    </row>
    <row r="8" spans="1:34">
      <c r="A8" s="50" t="s">
        <v>7</v>
      </c>
    </row>
    <row r="9" spans="1:34">
      <c r="A9" s="50" t="s">
        <v>7</v>
      </c>
    </row>
    <row r="10" spans="1:34">
      <c r="A10" s="50" t="s">
        <v>7</v>
      </c>
    </row>
    <row r="11" spans="1:34">
      <c r="A11" s="50" t="s">
        <v>7</v>
      </c>
      <c r="C11" s="50" t="s">
        <v>26</v>
      </c>
      <c r="E11" s="50" t="s">
        <v>100</v>
      </c>
    </row>
    <row r="12" spans="1:34">
      <c r="A12" s="50" t="s">
        <v>7</v>
      </c>
      <c r="C12" s="50" t="s">
        <v>27</v>
      </c>
      <c r="E12" s="50" t="s">
        <v>101</v>
      </c>
    </row>
    <row r="13" spans="1:34">
      <c r="A13" s="50" t="s">
        <v>7</v>
      </c>
      <c r="C13" s="50" t="s">
        <v>37</v>
      </c>
      <c r="E13" s="50" t="s">
        <v>102</v>
      </c>
    </row>
    <row r="14" spans="1:34">
      <c r="A14" s="50" t="s">
        <v>7</v>
      </c>
      <c r="C14" s="50" t="s">
        <v>35</v>
      </c>
      <c r="E14" s="50" t="s">
        <v>103</v>
      </c>
    </row>
    <row r="15" spans="1:34">
      <c r="A15" s="50" t="s">
        <v>7</v>
      </c>
      <c r="C15" s="50" t="s">
        <v>38</v>
      </c>
      <c r="E15" s="50" t="s">
        <v>104</v>
      </c>
    </row>
    <row r="16" spans="1:34">
      <c r="A16" s="50" t="s">
        <v>7</v>
      </c>
      <c r="C16" s="50" t="s">
        <v>39</v>
      </c>
      <c r="E16" s="50" t="s">
        <v>105</v>
      </c>
    </row>
    <row r="17" spans="1:41">
      <c r="A17" s="50" t="s">
        <v>7</v>
      </c>
    </row>
    <row r="18" spans="1:41">
      <c r="A18" s="50" t="s">
        <v>7</v>
      </c>
    </row>
    <row r="21" spans="1:41">
      <c r="K21" s="50" t="s">
        <v>40</v>
      </c>
    </row>
    <row r="23" spans="1:41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16</v>
      </c>
      <c r="V23" s="50" t="s">
        <v>58</v>
      </c>
      <c r="W23" s="50" t="s">
        <v>59</v>
      </c>
      <c r="X23" s="50" t="s">
        <v>33</v>
      </c>
      <c r="Y23" s="50" t="s">
        <v>12</v>
      </c>
      <c r="Z23" s="50" t="s">
        <v>31</v>
      </c>
      <c r="AA23" s="50" t="s">
        <v>13</v>
      </c>
      <c r="AB23" s="50" t="s">
        <v>49</v>
      </c>
      <c r="AC23" s="50" t="s">
        <v>50</v>
      </c>
      <c r="AD23" s="50" t="s">
        <v>60</v>
      </c>
      <c r="AE23" s="50" t="s">
        <v>61</v>
      </c>
      <c r="AF23" s="50" t="s">
        <v>62</v>
      </c>
      <c r="AG23" s="50" t="s">
        <v>63</v>
      </c>
      <c r="AH23" s="50" t="s">
        <v>64</v>
      </c>
      <c r="AI23" s="50" t="s">
        <v>65</v>
      </c>
      <c r="AJ23" s="50" t="s">
        <v>66</v>
      </c>
      <c r="AK23" s="50" t="s">
        <v>67</v>
      </c>
      <c r="AL23" s="50" t="s">
        <v>68</v>
      </c>
      <c r="AM23" s="50" t="s">
        <v>69</v>
      </c>
      <c r="AN23" s="50" t="s">
        <v>70</v>
      </c>
      <c r="AO23" s="50" t="s">
        <v>71</v>
      </c>
    </row>
    <row r="24" spans="1:41">
      <c r="B24" s="50" t="s">
        <v>106</v>
      </c>
      <c r="C24" s="50" t="s">
        <v>43</v>
      </c>
      <c r="E24" s="50" t="s">
        <v>107</v>
      </c>
      <c r="K24" s="50" t="s">
        <v>108</v>
      </c>
      <c r="L24" s="50" t="s">
        <v>109</v>
      </c>
      <c r="M24" s="50" t="s">
        <v>110</v>
      </c>
      <c r="N24" s="50" t="s">
        <v>111</v>
      </c>
      <c r="O24" s="50" t="s">
        <v>112</v>
      </c>
      <c r="P24" s="50" t="s">
        <v>113</v>
      </c>
      <c r="R24" s="50" t="s">
        <v>114</v>
      </c>
      <c r="S24" s="50" t="s">
        <v>115</v>
      </c>
      <c r="T24" s="50" t="s">
        <v>116</v>
      </c>
      <c r="U24" s="50" t="s">
        <v>117</v>
      </c>
      <c r="V24" s="50" t="s">
        <v>118</v>
      </c>
      <c r="W24" s="50" t="s">
        <v>119</v>
      </c>
      <c r="X24" s="50" t="s">
        <v>120</v>
      </c>
      <c r="Y24" s="50" t="s">
        <v>121</v>
      </c>
      <c r="Z24" s="50" t="s">
        <v>122</v>
      </c>
      <c r="AA24" s="50" t="s">
        <v>123</v>
      </c>
      <c r="AB24" s="50" t="s">
        <v>124</v>
      </c>
      <c r="AC24" s="50" t="s">
        <v>125</v>
      </c>
      <c r="AD24" s="50" t="s">
        <v>126</v>
      </c>
      <c r="AE24" s="50" t="s">
        <v>125</v>
      </c>
      <c r="AF24" s="50" t="s">
        <v>72</v>
      </c>
      <c r="AG24" s="50" t="s">
        <v>127</v>
      </c>
      <c r="AH24" s="50" t="s">
        <v>73</v>
      </c>
      <c r="AI24" s="50" t="s">
        <v>74</v>
      </c>
      <c r="AJ24" s="50" t="s">
        <v>128</v>
      </c>
      <c r="AK24" s="50" t="s">
        <v>129</v>
      </c>
      <c r="AL24" s="50" t="s">
        <v>130</v>
      </c>
      <c r="AM24" s="50" t="s">
        <v>131</v>
      </c>
      <c r="AN24" s="50" t="s">
        <v>132</v>
      </c>
      <c r="AO24" s="50" t="s">
        <v>133</v>
      </c>
    </row>
    <row r="25" spans="1:41">
      <c r="B25" s="50" t="s">
        <v>134</v>
      </c>
      <c r="C25" s="50" t="s">
        <v>44</v>
      </c>
      <c r="E25" s="50" t="s">
        <v>135</v>
      </c>
      <c r="K25" s="50" t="s">
        <v>136</v>
      </c>
      <c r="L25" s="50" t="s">
        <v>137</v>
      </c>
      <c r="M25" s="50" t="s">
        <v>138</v>
      </c>
      <c r="N25" s="50" t="s">
        <v>139</v>
      </c>
      <c r="O25" s="50" t="s">
        <v>140</v>
      </c>
      <c r="P25" s="50" t="s">
        <v>141</v>
      </c>
      <c r="Q25" s="50" t="s">
        <v>142</v>
      </c>
      <c r="S25" s="50" t="s">
        <v>141</v>
      </c>
      <c r="T25" s="50" t="s">
        <v>143</v>
      </c>
      <c r="U25" s="50" t="s">
        <v>144</v>
      </c>
      <c r="V25" s="50" t="s">
        <v>145</v>
      </c>
      <c r="W25" s="50" t="s">
        <v>146</v>
      </c>
      <c r="X25" s="50" t="s">
        <v>147</v>
      </c>
      <c r="Y25" s="50" t="s">
        <v>148</v>
      </c>
      <c r="Z25" s="50" t="s">
        <v>149</v>
      </c>
      <c r="AA25" s="50" t="s">
        <v>150</v>
      </c>
      <c r="AB25" s="50" t="s">
        <v>151</v>
      </c>
    </row>
    <row r="26" spans="1:41">
      <c r="B26" s="50" t="s">
        <v>152</v>
      </c>
      <c r="C26" s="50" t="s">
        <v>45</v>
      </c>
      <c r="E26" s="50" t="s">
        <v>153</v>
      </c>
      <c r="K26" s="50" t="s">
        <v>154</v>
      </c>
      <c r="L26" s="50" t="s">
        <v>155</v>
      </c>
      <c r="M26" s="50" t="s">
        <v>156</v>
      </c>
      <c r="N26" s="50" t="s">
        <v>157</v>
      </c>
      <c r="O26" s="50" t="s">
        <v>158</v>
      </c>
      <c r="P26" s="50" t="s">
        <v>159</v>
      </c>
      <c r="Q26" s="50" t="s">
        <v>160</v>
      </c>
      <c r="S26" s="50" t="s">
        <v>159</v>
      </c>
      <c r="T26" s="50" t="s">
        <v>161</v>
      </c>
      <c r="U26" s="50" t="s">
        <v>162</v>
      </c>
      <c r="V26" s="50" t="s">
        <v>163</v>
      </c>
      <c r="W26" s="50" t="s">
        <v>164</v>
      </c>
      <c r="X26" s="50" t="s">
        <v>165</v>
      </c>
      <c r="Y26" s="50" t="s">
        <v>166</v>
      </c>
      <c r="Z26" s="50" t="s">
        <v>167</v>
      </c>
      <c r="AA26" s="50" t="s">
        <v>168</v>
      </c>
      <c r="AB26" s="50" t="s">
        <v>169</v>
      </c>
    </row>
    <row r="28" spans="1:41">
      <c r="AA28" s="50" t="s">
        <v>170</v>
      </c>
      <c r="AB28" s="50" t="s">
        <v>171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6E8CB-B23D-454B-83C9-AB0C630864A1}">
  <dimension ref="A1:E30"/>
  <sheetViews>
    <sheetView workbookViewId="0"/>
  </sheetViews>
  <sheetFormatPr defaultRowHeight="15"/>
  <sheetData>
    <row r="1" spans="1:5">
      <c r="A1" s="50" t="s">
        <v>175</v>
      </c>
      <c r="B1" s="50" t="s">
        <v>1</v>
      </c>
      <c r="C1" s="50" t="s">
        <v>2</v>
      </c>
      <c r="D1" s="50" t="s">
        <v>3</v>
      </c>
    </row>
    <row r="2" spans="1:5">
      <c r="B2" s="50" t="s">
        <v>18</v>
      </c>
      <c r="C2" s="50" t="s">
        <v>4</v>
      </c>
    </row>
    <row r="3" spans="1:5">
      <c r="A3" s="50" t="s">
        <v>0</v>
      </c>
      <c r="B3" s="50" t="s">
        <v>5</v>
      </c>
      <c r="C3" s="50" t="s">
        <v>77</v>
      </c>
    </row>
    <row r="4" spans="1:5">
      <c r="A4" s="50" t="s">
        <v>0</v>
      </c>
      <c r="B4" s="50" t="s">
        <v>6</v>
      </c>
      <c r="C4" s="50" t="s">
        <v>78</v>
      </c>
    </row>
    <row r="5" spans="1:5">
      <c r="A5" s="50" t="s">
        <v>0</v>
      </c>
      <c r="B5" s="50" t="s">
        <v>25</v>
      </c>
      <c r="C5" s="50" t="s">
        <v>79</v>
      </c>
      <c r="D5" s="50" t="s">
        <v>80</v>
      </c>
      <c r="E5" s="50" t="s">
        <v>51</v>
      </c>
    </row>
    <row r="8" spans="1:5">
      <c r="A8" s="50" t="s">
        <v>8</v>
      </c>
      <c r="C8" s="50" t="s">
        <v>81</v>
      </c>
    </row>
    <row r="9" spans="1:5">
      <c r="A9" s="50" t="s">
        <v>9</v>
      </c>
      <c r="C9" s="50" t="s">
        <v>82</v>
      </c>
    </row>
    <row r="10" spans="1:5">
      <c r="B10" s="50" t="s">
        <v>37</v>
      </c>
      <c r="C10" s="50" t="s">
        <v>83</v>
      </c>
    </row>
    <row r="11" spans="1:5">
      <c r="B11" s="50" t="s">
        <v>35</v>
      </c>
      <c r="C11" s="50" t="s">
        <v>83</v>
      </c>
    </row>
    <row r="12" spans="1:5">
      <c r="B12" s="50" t="s">
        <v>38</v>
      </c>
      <c r="C12" s="50" t="s">
        <v>84</v>
      </c>
    </row>
    <row r="13" spans="1:5">
      <c r="B13" s="50" t="s">
        <v>39</v>
      </c>
      <c r="C13" s="50" t="s">
        <v>85</v>
      </c>
      <c r="D13" s="50" t="s">
        <v>86</v>
      </c>
    </row>
    <row r="14" spans="1:5">
      <c r="D14" s="50" t="s">
        <v>87</v>
      </c>
    </row>
    <row r="15" spans="1:5">
      <c r="D15" s="50" t="s">
        <v>52</v>
      </c>
    </row>
    <row r="28" spans="3:4">
      <c r="C28" s="50" t="s">
        <v>53</v>
      </c>
      <c r="D28" s="50" t="s">
        <v>52</v>
      </c>
    </row>
    <row r="29" spans="3:4">
      <c r="D29" s="50" t="s">
        <v>86</v>
      </c>
    </row>
    <row r="30" spans="3:4">
      <c r="D30" s="50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E3B29-9AD4-4880-8EAC-4902DFEECBFA}">
  <dimension ref="A1:AO37"/>
  <sheetViews>
    <sheetView workbookViewId="0"/>
  </sheetViews>
  <sheetFormatPr defaultRowHeight="15"/>
  <sheetData>
    <row r="1" spans="1:34">
      <c r="A1" s="50" t="s">
        <v>439</v>
      </c>
      <c r="B1" s="50" t="s">
        <v>41</v>
      </c>
      <c r="C1" s="50" t="s">
        <v>7</v>
      </c>
      <c r="D1" s="50" t="s">
        <v>7</v>
      </c>
      <c r="E1" s="50" t="s">
        <v>7</v>
      </c>
      <c r="F1" s="50" t="s">
        <v>7</v>
      </c>
      <c r="G1" s="50" t="s">
        <v>7</v>
      </c>
      <c r="H1" s="50" t="s">
        <v>7</v>
      </c>
      <c r="I1" s="50" t="s">
        <v>7</v>
      </c>
      <c r="J1" s="50" t="s">
        <v>48</v>
      </c>
      <c r="K1" s="50" t="s">
        <v>17</v>
      </c>
      <c r="L1" s="50" t="s">
        <v>17</v>
      </c>
      <c r="M1" s="50" t="s">
        <v>17</v>
      </c>
      <c r="N1" s="50" t="s">
        <v>17</v>
      </c>
      <c r="O1" s="50" t="s">
        <v>17</v>
      </c>
      <c r="P1" s="50" t="s">
        <v>17</v>
      </c>
      <c r="Q1" s="50" t="s">
        <v>17</v>
      </c>
      <c r="R1" s="50" t="s">
        <v>17</v>
      </c>
      <c r="S1" s="50" t="s">
        <v>17</v>
      </c>
      <c r="T1" s="50" t="s">
        <v>17</v>
      </c>
      <c r="U1" s="50" t="s">
        <v>17</v>
      </c>
      <c r="V1" s="50" t="s">
        <v>17</v>
      </c>
      <c r="W1" s="50" t="s">
        <v>17</v>
      </c>
      <c r="X1" s="50" t="s">
        <v>7</v>
      </c>
      <c r="Y1" s="50" t="s">
        <v>7</v>
      </c>
      <c r="Z1" s="50" t="s">
        <v>17</v>
      </c>
      <c r="AA1" s="50" t="s">
        <v>17</v>
      </c>
      <c r="AB1" s="50" t="s">
        <v>17</v>
      </c>
      <c r="AG1" s="50" t="s">
        <v>7</v>
      </c>
      <c r="AH1" s="50" t="s">
        <v>7</v>
      </c>
    </row>
    <row r="2" spans="1:34">
      <c r="A2" s="50" t="s">
        <v>7</v>
      </c>
      <c r="D2" s="50" t="s">
        <v>18</v>
      </c>
      <c r="E2" s="50" t="s">
        <v>90</v>
      </c>
    </row>
    <row r="3" spans="1:34">
      <c r="A3" s="50" t="s">
        <v>7</v>
      </c>
      <c r="D3" s="50" t="s">
        <v>21</v>
      </c>
      <c r="E3" s="50" t="s">
        <v>19</v>
      </c>
      <c r="F3" s="50" t="s">
        <v>20</v>
      </c>
      <c r="G3" s="50" t="s">
        <v>22</v>
      </c>
      <c r="H3" s="50" t="s">
        <v>42</v>
      </c>
      <c r="I3" s="50" t="s">
        <v>23</v>
      </c>
    </row>
    <row r="4" spans="1:34">
      <c r="A4" s="50" t="s">
        <v>7</v>
      </c>
      <c r="C4" s="50" t="s">
        <v>11</v>
      </c>
      <c r="D4" s="50" t="s">
        <v>91</v>
      </c>
      <c r="E4" s="50" t="s">
        <v>92</v>
      </c>
      <c r="F4" s="50" t="s">
        <v>46</v>
      </c>
      <c r="G4" s="50" t="s">
        <v>24</v>
      </c>
      <c r="H4" s="50" t="s">
        <v>93</v>
      </c>
    </row>
    <row r="5" spans="1:34">
      <c r="A5" s="50" t="s">
        <v>7</v>
      </c>
      <c r="C5" s="50" t="s">
        <v>10</v>
      </c>
      <c r="D5" s="50" t="s">
        <v>94</v>
      </c>
      <c r="E5" s="50" t="s">
        <v>95</v>
      </c>
      <c r="F5" s="50" t="s">
        <v>47</v>
      </c>
      <c r="G5" s="50" t="s">
        <v>24</v>
      </c>
      <c r="H5" s="50" t="s">
        <v>93</v>
      </c>
      <c r="I5" s="50" t="s">
        <v>96</v>
      </c>
    </row>
    <row r="6" spans="1:34">
      <c r="A6" s="50" t="s">
        <v>7</v>
      </c>
      <c r="C6" s="50" t="s">
        <v>36</v>
      </c>
      <c r="D6" s="50" t="s">
        <v>97</v>
      </c>
      <c r="E6" s="50" t="s">
        <v>98</v>
      </c>
      <c r="F6" s="50" t="s">
        <v>47</v>
      </c>
      <c r="G6" s="50" t="s">
        <v>24</v>
      </c>
      <c r="H6" s="50" t="s">
        <v>93</v>
      </c>
      <c r="I6" s="50" t="s">
        <v>99</v>
      </c>
    </row>
    <row r="7" spans="1:34">
      <c r="A7" s="50" t="s">
        <v>7</v>
      </c>
    </row>
    <row r="8" spans="1:34">
      <c r="A8" s="50" t="s">
        <v>7</v>
      </c>
    </row>
    <row r="9" spans="1:34">
      <c r="A9" s="50" t="s">
        <v>7</v>
      </c>
    </row>
    <row r="10" spans="1:34">
      <c r="A10" s="50" t="s">
        <v>7</v>
      </c>
    </row>
    <row r="11" spans="1:34">
      <c r="A11" s="50" t="s">
        <v>7</v>
      </c>
      <c r="C11" s="50" t="s">
        <v>26</v>
      </c>
      <c r="E11" s="50" t="s">
        <v>100</v>
      </c>
    </row>
    <row r="12" spans="1:34">
      <c r="A12" s="50" t="s">
        <v>7</v>
      </c>
      <c r="C12" s="50" t="s">
        <v>27</v>
      </c>
      <c r="E12" s="50" t="s">
        <v>101</v>
      </c>
    </row>
    <row r="13" spans="1:34">
      <c r="A13" s="50" t="s">
        <v>7</v>
      </c>
      <c r="C13" s="50" t="s">
        <v>37</v>
      </c>
      <c r="E13" s="50" t="s">
        <v>102</v>
      </c>
    </row>
    <row r="14" spans="1:34">
      <c r="A14" s="50" t="s">
        <v>7</v>
      </c>
      <c r="C14" s="50" t="s">
        <v>35</v>
      </c>
      <c r="E14" s="50" t="s">
        <v>103</v>
      </c>
    </row>
    <row r="15" spans="1:34">
      <c r="A15" s="50" t="s">
        <v>7</v>
      </c>
      <c r="C15" s="50" t="s">
        <v>38</v>
      </c>
      <c r="E15" s="50" t="s">
        <v>104</v>
      </c>
    </row>
    <row r="16" spans="1:34">
      <c r="A16" s="50" t="s">
        <v>7</v>
      </c>
      <c r="C16" s="50" t="s">
        <v>39</v>
      </c>
      <c r="E16" s="50" t="s">
        <v>105</v>
      </c>
    </row>
    <row r="17" spans="1:41">
      <c r="A17" s="50" t="s">
        <v>7</v>
      </c>
    </row>
    <row r="18" spans="1:41">
      <c r="A18" s="50" t="s">
        <v>7</v>
      </c>
    </row>
    <row r="21" spans="1:41">
      <c r="K21" s="50" t="s">
        <v>40</v>
      </c>
    </row>
    <row r="23" spans="1:41">
      <c r="E23" s="50" t="s">
        <v>28</v>
      </c>
      <c r="K23" s="50" t="s">
        <v>54</v>
      </c>
      <c r="L23" s="50" t="s">
        <v>55</v>
      </c>
      <c r="M23" s="50" t="s">
        <v>14</v>
      </c>
      <c r="N23" s="50" t="s">
        <v>15</v>
      </c>
      <c r="O23" s="50" t="s">
        <v>29</v>
      </c>
      <c r="P23" s="50" t="s">
        <v>56</v>
      </c>
      <c r="Q23" s="50" t="s">
        <v>57</v>
      </c>
      <c r="R23" s="50" t="s">
        <v>30</v>
      </c>
      <c r="S23" s="50" t="s">
        <v>34</v>
      </c>
      <c r="T23" s="50" t="s">
        <v>32</v>
      </c>
      <c r="U23" s="50" t="s">
        <v>16</v>
      </c>
      <c r="V23" s="50" t="s">
        <v>58</v>
      </c>
      <c r="W23" s="50" t="s">
        <v>59</v>
      </c>
      <c r="X23" s="50" t="s">
        <v>33</v>
      </c>
      <c r="Y23" s="50" t="s">
        <v>12</v>
      </c>
      <c r="Z23" s="50" t="s">
        <v>31</v>
      </c>
      <c r="AA23" s="50" t="s">
        <v>13</v>
      </c>
      <c r="AB23" s="50" t="s">
        <v>49</v>
      </c>
      <c r="AC23" s="50" t="s">
        <v>50</v>
      </c>
      <c r="AD23" s="50" t="s">
        <v>60</v>
      </c>
      <c r="AE23" s="50" t="s">
        <v>61</v>
      </c>
      <c r="AF23" s="50" t="s">
        <v>62</v>
      </c>
      <c r="AG23" s="50" t="s">
        <v>63</v>
      </c>
      <c r="AH23" s="50" t="s">
        <v>64</v>
      </c>
      <c r="AI23" s="50" t="s">
        <v>65</v>
      </c>
      <c r="AJ23" s="50" t="s">
        <v>66</v>
      </c>
      <c r="AK23" s="50" t="s">
        <v>67</v>
      </c>
      <c r="AL23" s="50" t="s">
        <v>68</v>
      </c>
      <c r="AM23" s="50" t="s">
        <v>69</v>
      </c>
      <c r="AN23" s="50" t="s">
        <v>70</v>
      </c>
      <c r="AO23" s="50" t="s">
        <v>71</v>
      </c>
    </row>
    <row r="24" spans="1:41">
      <c r="B24" s="50" t="s">
        <v>106</v>
      </c>
      <c r="C24" s="50" t="s">
        <v>43</v>
      </c>
      <c r="E24" s="50" t="s">
        <v>107</v>
      </c>
      <c r="K24" s="50" t="s">
        <v>108</v>
      </c>
      <c r="L24" s="50" t="s">
        <v>109</v>
      </c>
      <c r="M24" s="50" t="s">
        <v>110</v>
      </c>
      <c r="N24" s="50" t="s">
        <v>111</v>
      </c>
      <c r="O24" s="50" t="s">
        <v>112</v>
      </c>
      <c r="P24" s="50" t="s">
        <v>113</v>
      </c>
      <c r="R24" s="50" t="s">
        <v>114</v>
      </c>
      <c r="S24" s="50" t="s">
        <v>115</v>
      </c>
      <c r="T24" s="50" t="s">
        <v>116</v>
      </c>
      <c r="U24" s="50" t="s">
        <v>117</v>
      </c>
      <c r="V24" s="50" t="s">
        <v>118</v>
      </c>
      <c r="W24" s="50" t="s">
        <v>119</v>
      </c>
      <c r="X24" s="50" t="s">
        <v>120</v>
      </c>
      <c r="Y24" s="50" t="s">
        <v>121</v>
      </c>
      <c r="Z24" s="50" t="s">
        <v>122</v>
      </c>
      <c r="AA24" s="50" t="s">
        <v>123</v>
      </c>
      <c r="AB24" s="50" t="s">
        <v>124</v>
      </c>
      <c r="AC24" s="50" t="s">
        <v>125</v>
      </c>
      <c r="AD24" s="50" t="s">
        <v>126</v>
      </c>
      <c r="AE24" s="50" t="s">
        <v>125</v>
      </c>
      <c r="AF24" s="50" t="s">
        <v>72</v>
      </c>
      <c r="AG24" s="50" t="s">
        <v>127</v>
      </c>
      <c r="AH24" s="50" t="s">
        <v>73</v>
      </c>
      <c r="AI24" s="50" t="s">
        <v>74</v>
      </c>
      <c r="AJ24" s="50" t="s">
        <v>128</v>
      </c>
      <c r="AK24" s="50" t="s">
        <v>129</v>
      </c>
      <c r="AL24" s="50" t="s">
        <v>130</v>
      </c>
      <c r="AM24" s="50" t="s">
        <v>131</v>
      </c>
      <c r="AN24" s="50" t="s">
        <v>132</v>
      </c>
      <c r="AO24" s="50" t="s">
        <v>133</v>
      </c>
    </row>
    <row r="25" spans="1:41">
      <c r="A25" s="50" t="s">
        <v>173</v>
      </c>
      <c r="B25" s="50" t="s">
        <v>134</v>
      </c>
      <c r="C25" s="50" t="s">
        <v>43</v>
      </c>
      <c r="E25" s="50" t="s">
        <v>177</v>
      </c>
      <c r="K25" s="50" t="s">
        <v>178</v>
      </c>
      <c r="L25" s="50" t="s">
        <v>179</v>
      </c>
      <c r="M25" s="50" t="s">
        <v>136</v>
      </c>
      <c r="N25" s="50" t="s">
        <v>137</v>
      </c>
      <c r="O25" s="50" t="s">
        <v>138</v>
      </c>
      <c r="P25" s="50" t="s">
        <v>180</v>
      </c>
      <c r="R25" s="50" t="s">
        <v>139</v>
      </c>
      <c r="S25" s="50" t="s">
        <v>140</v>
      </c>
      <c r="T25" s="50" t="s">
        <v>142</v>
      </c>
      <c r="U25" s="50" t="s">
        <v>181</v>
      </c>
      <c r="V25" s="50" t="s">
        <v>182</v>
      </c>
      <c r="W25" s="50" t="s">
        <v>183</v>
      </c>
      <c r="X25" s="50" t="s">
        <v>141</v>
      </c>
      <c r="Y25" s="50" t="s">
        <v>143</v>
      </c>
      <c r="Z25" s="50" t="s">
        <v>144</v>
      </c>
      <c r="AA25" s="50" t="s">
        <v>145</v>
      </c>
      <c r="AB25" s="50" t="s">
        <v>184</v>
      </c>
      <c r="AC25" s="50" t="s">
        <v>151</v>
      </c>
      <c r="AD25" s="50" t="s">
        <v>185</v>
      </c>
      <c r="AE25" s="50" t="s">
        <v>151</v>
      </c>
      <c r="AF25" s="50" t="s">
        <v>72</v>
      </c>
      <c r="AG25" s="50" t="s">
        <v>147</v>
      </c>
      <c r="AH25" s="50" t="s">
        <v>73</v>
      </c>
      <c r="AI25" s="50" t="s">
        <v>74</v>
      </c>
      <c r="AJ25" s="50" t="s">
        <v>186</v>
      </c>
      <c r="AK25" s="50" t="s">
        <v>187</v>
      </c>
      <c r="AL25" s="50" t="s">
        <v>188</v>
      </c>
      <c r="AM25" s="50" t="s">
        <v>189</v>
      </c>
      <c r="AN25" s="50" t="s">
        <v>190</v>
      </c>
      <c r="AO25" s="50" t="s">
        <v>191</v>
      </c>
    </row>
    <row r="26" spans="1:41">
      <c r="A26" s="50" t="s">
        <v>173</v>
      </c>
      <c r="B26" s="50" t="s">
        <v>152</v>
      </c>
      <c r="C26" s="50" t="s">
        <v>43</v>
      </c>
      <c r="E26" s="50" t="s">
        <v>192</v>
      </c>
      <c r="K26" s="50" t="s">
        <v>193</v>
      </c>
      <c r="L26" s="50" t="s">
        <v>194</v>
      </c>
      <c r="M26" s="50" t="s">
        <v>154</v>
      </c>
      <c r="N26" s="50" t="s">
        <v>155</v>
      </c>
      <c r="O26" s="50" t="s">
        <v>156</v>
      </c>
      <c r="P26" s="50" t="s">
        <v>195</v>
      </c>
      <c r="R26" s="50" t="s">
        <v>157</v>
      </c>
      <c r="S26" s="50" t="s">
        <v>158</v>
      </c>
      <c r="T26" s="50" t="s">
        <v>160</v>
      </c>
      <c r="U26" s="50" t="s">
        <v>196</v>
      </c>
      <c r="V26" s="50" t="s">
        <v>197</v>
      </c>
      <c r="W26" s="50" t="s">
        <v>198</v>
      </c>
      <c r="X26" s="50" t="s">
        <v>159</v>
      </c>
      <c r="Y26" s="50" t="s">
        <v>161</v>
      </c>
      <c r="Z26" s="50" t="s">
        <v>162</v>
      </c>
      <c r="AA26" s="50" t="s">
        <v>163</v>
      </c>
      <c r="AB26" s="50" t="s">
        <v>199</v>
      </c>
      <c r="AC26" s="50" t="s">
        <v>169</v>
      </c>
      <c r="AD26" s="50" t="s">
        <v>200</v>
      </c>
      <c r="AE26" s="50" t="s">
        <v>169</v>
      </c>
      <c r="AF26" s="50" t="s">
        <v>72</v>
      </c>
      <c r="AG26" s="50" t="s">
        <v>165</v>
      </c>
      <c r="AH26" s="50" t="s">
        <v>73</v>
      </c>
      <c r="AI26" s="50" t="s">
        <v>74</v>
      </c>
      <c r="AJ26" s="50" t="s">
        <v>201</v>
      </c>
      <c r="AK26" s="50" t="s">
        <v>202</v>
      </c>
      <c r="AL26" s="50" t="s">
        <v>203</v>
      </c>
      <c r="AM26" s="50" t="s">
        <v>204</v>
      </c>
      <c r="AN26" s="50" t="s">
        <v>205</v>
      </c>
      <c r="AO26" s="50" t="s">
        <v>206</v>
      </c>
    </row>
    <row r="27" spans="1:41">
      <c r="A27" s="50" t="s">
        <v>173</v>
      </c>
      <c r="B27" s="50" t="s">
        <v>207</v>
      </c>
      <c r="C27" s="50" t="s">
        <v>43</v>
      </c>
      <c r="E27" s="50" t="s">
        <v>208</v>
      </c>
      <c r="K27" s="50" t="s">
        <v>209</v>
      </c>
      <c r="L27" s="50" t="s">
        <v>210</v>
      </c>
      <c r="M27" s="50" t="s">
        <v>211</v>
      </c>
      <c r="N27" s="50" t="s">
        <v>212</v>
      </c>
      <c r="O27" s="50" t="s">
        <v>213</v>
      </c>
      <c r="P27" s="50" t="s">
        <v>214</v>
      </c>
      <c r="R27" s="50" t="s">
        <v>215</v>
      </c>
      <c r="S27" s="50" t="s">
        <v>216</v>
      </c>
      <c r="T27" s="50" t="s">
        <v>217</v>
      </c>
      <c r="U27" s="50" t="s">
        <v>218</v>
      </c>
      <c r="V27" s="50" t="s">
        <v>219</v>
      </c>
      <c r="W27" s="50" t="s">
        <v>220</v>
      </c>
      <c r="X27" s="50" t="s">
        <v>221</v>
      </c>
      <c r="Y27" s="50" t="s">
        <v>222</v>
      </c>
      <c r="Z27" s="50" t="s">
        <v>223</v>
      </c>
      <c r="AA27" s="50" t="s">
        <v>224</v>
      </c>
      <c r="AB27" s="50" t="s">
        <v>225</v>
      </c>
      <c r="AC27" s="50" t="s">
        <v>226</v>
      </c>
      <c r="AD27" s="50" t="s">
        <v>227</v>
      </c>
      <c r="AE27" s="50" t="s">
        <v>226</v>
      </c>
      <c r="AF27" s="50" t="s">
        <v>72</v>
      </c>
      <c r="AG27" s="50" t="s">
        <v>228</v>
      </c>
      <c r="AH27" s="50" t="s">
        <v>73</v>
      </c>
      <c r="AI27" s="50" t="s">
        <v>74</v>
      </c>
      <c r="AJ27" s="50" t="s">
        <v>229</v>
      </c>
      <c r="AK27" s="50" t="s">
        <v>230</v>
      </c>
      <c r="AL27" s="50" t="s">
        <v>231</v>
      </c>
      <c r="AM27" s="50" t="s">
        <v>232</v>
      </c>
      <c r="AN27" s="50" t="s">
        <v>233</v>
      </c>
      <c r="AO27" s="50" t="s">
        <v>234</v>
      </c>
    </row>
    <row r="28" spans="1:41">
      <c r="A28" s="50" t="s">
        <v>173</v>
      </c>
      <c r="B28" s="50" t="s">
        <v>235</v>
      </c>
      <c r="C28" s="50" t="s">
        <v>43</v>
      </c>
      <c r="E28" s="50" t="s">
        <v>236</v>
      </c>
      <c r="K28" s="50" t="s">
        <v>237</v>
      </c>
      <c r="L28" s="50" t="s">
        <v>238</v>
      </c>
      <c r="M28" s="50" t="s">
        <v>239</v>
      </c>
      <c r="N28" s="50" t="s">
        <v>240</v>
      </c>
      <c r="O28" s="50" t="s">
        <v>241</v>
      </c>
      <c r="P28" s="50" t="s">
        <v>242</v>
      </c>
      <c r="R28" s="50" t="s">
        <v>243</v>
      </c>
      <c r="S28" s="50" t="s">
        <v>244</v>
      </c>
      <c r="T28" s="50" t="s">
        <v>245</v>
      </c>
      <c r="U28" s="50" t="s">
        <v>246</v>
      </c>
      <c r="V28" s="50" t="s">
        <v>247</v>
      </c>
      <c r="W28" s="50" t="s">
        <v>248</v>
      </c>
      <c r="X28" s="50" t="s">
        <v>249</v>
      </c>
      <c r="Y28" s="50" t="s">
        <v>250</v>
      </c>
      <c r="Z28" s="50" t="s">
        <v>251</v>
      </c>
      <c r="AA28" s="50" t="s">
        <v>252</v>
      </c>
      <c r="AB28" s="50" t="s">
        <v>253</v>
      </c>
      <c r="AC28" s="50" t="s">
        <v>254</v>
      </c>
      <c r="AD28" s="50" t="s">
        <v>255</v>
      </c>
      <c r="AE28" s="50" t="s">
        <v>254</v>
      </c>
      <c r="AF28" s="50" t="s">
        <v>72</v>
      </c>
      <c r="AG28" s="50" t="s">
        <v>256</v>
      </c>
      <c r="AH28" s="50" t="s">
        <v>73</v>
      </c>
      <c r="AI28" s="50" t="s">
        <v>74</v>
      </c>
      <c r="AJ28" s="50" t="s">
        <v>257</v>
      </c>
      <c r="AK28" s="50" t="s">
        <v>258</v>
      </c>
      <c r="AL28" s="50" t="s">
        <v>259</v>
      </c>
      <c r="AM28" s="50" t="s">
        <v>260</v>
      </c>
      <c r="AN28" s="50" t="s">
        <v>261</v>
      </c>
      <c r="AO28" s="50" t="s">
        <v>262</v>
      </c>
    </row>
    <row r="29" spans="1:41">
      <c r="A29" s="50" t="s">
        <v>173</v>
      </c>
      <c r="B29" s="50" t="s">
        <v>263</v>
      </c>
      <c r="C29" s="50" t="s">
        <v>43</v>
      </c>
      <c r="E29" s="50" t="s">
        <v>264</v>
      </c>
      <c r="K29" s="50" t="s">
        <v>265</v>
      </c>
      <c r="L29" s="50" t="s">
        <v>266</v>
      </c>
      <c r="M29" s="50" t="s">
        <v>267</v>
      </c>
      <c r="N29" s="50" t="s">
        <v>268</v>
      </c>
      <c r="O29" s="50" t="s">
        <v>269</v>
      </c>
      <c r="P29" s="50" t="s">
        <v>270</v>
      </c>
      <c r="R29" s="50" t="s">
        <v>271</v>
      </c>
      <c r="S29" s="50" t="s">
        <v>272</v>
      </c>
      <c r="T29" s="50" t="s">
        <v>273</v>
      </c>
      <c r="U29" s="50" t="s">
        <v>274</v>
      </c>
      <c r="V29" s="50" t="s">
        <v>275</v>
      </c>
      <c r="W29" s="50" t="s">
        <v>276</v>
      </c>
      <c r="X29" s="50" t="s">
        <v>277</v>
      </c>
      <c r="Y29" s="50" t="s">
        <v>278</v>
      </c>
      <c r="Z29" s="50" t="s">
        <v>279</v>
      </c>
      <c r="AA29" s="50" t="s">
        <v>280</v>
      </c>
      <c r="AB29" s="50" t="s">
        <v>281</v>
      </c>
      <c r="AC29" s="50" t="s">
        <v>282</v>
      </c>
      <c r="AD29" s="50" t="s">
        <v>283</v>
      </c>
      <c r="AE29" s="50" t="s">
        <v>282</v>
      </c>
      <c r="AF29" s="50" t="s">
        <v>72</v>
      </c>
      <c r="AG29" s="50" t="s">
        <v>284</v>
      </c>
      <c r="AH29" s="50" t="s">
        <v>73</v>
      </c>
      <c r="AI29" s="50" t="s">
        <v>74</v>
      </c>
      <c r="AJ29" s="50" t="s">
        <v>285</v>
      </c>
      <c r="AK29" s="50" t="s">
        <v>286</v>
      </c>
      <c r="AL29" s="50" t="s">
        <v>287</v>
      </c>
      <c r="AM29" s="50" t="s">
        <v>288</v>
      </c>
      <c r="AN29" s="50" t="s">
        <v>289</v>
      </c>
      <c r="AO29" s="50" t="s">
        <v>290</v>
      </c>
    </row>
    <row r="30" spans="1:41">
      <c r="A30" s="50" t="s">
        <v>173</v>
      </c>
      <c r="B30" s="50" t="s">
        <v>291</v>
      </c>
      <c r="C30" s="50" t="s">
        <v>43</v>
      </c>
      <c r="E30" s="50" t="s">
        <v>292</v>
      </c>
      <c r="K30" s="50" t="s">
        <v>293</v>
      </c>
      <c r="L30" s="50" t="s">
        <v>294</v>
      </c>
      <c r="M30" s="50" t="s">
        <v>295</v>
      </c>
      <c r="N30" s="50" t="s">
        <v>296</v>
      </c>
      <c r="O30" s="50" t="s">
        <v>297</v>
      </c>
      <c r="P30" s="50" t="s">
        <v>298</v>
      </c>
      <c r="R30" s="50" t="s">
        <v>299</v>
      </c>
      <c r="S30" s="50" t="s">
        <v>300</v>
      </c>
      <c r="T30" s="50" t="s">
        <v>301</v>
      </c>
      <c r="U30" s="50" t="s">
        <v>302</v>
      </c>
      <c r="V30" s="50" t="s">
        <v>303</v>
      </c>
      <c r="W30" s="50" t="s">
        <v>304</v>
      </c>
      <c r="X30" s="50" t="s">
        <v>305</v>
      </c>
      <c r="Y30" s="50" t="s">
        <v>306</v>
      </c>
      <c r="Z30" s="50" t="s">
        <v>307</v>
      </c>
      <c r="AA30" s="50" t="s">
        <v>308</v>
      </c>
      <c r="AB30" s="50" t="s">
        <v>309</v>
      </c>
      <c r="AC30" s="50" t="s">
        <v>310</v>
      </c>
      <c r="AD30" s="50" t="s">
        <v>311</v>
      </c>
      <c r="AE30" s="50" t="s">
        <v>310</v>
      </c>
      <c r="AF30" s="50" t="s">
        <v>72</v>
      </c>
      <c r="AG30" s="50" t="s">
        <v>312</v>
      </c>
      <c r="AH30" s="50" t="s">
        <v>73</v>
      </c>
      <c r="AI30" s="50" t="s">
        <v>74</v>
      </c>
      <c r="AJ30" s="50" t="s">
        <v>313</v>
      </c>
      <c r="AK30" s="50" t="s">
        <v>314</v>
      </c>
      <c r="AL30" s="50" t="s">
        <v>315</v>
      </c>
      <c r="AM30" s="50" t="s">
        <v>316</v>
      </c>
      <c r="AN30" s="50" t="s">
        <v>317</v>
      </c>
      <c r="AO30" s="50" t="s">
        <v>318</v>
      </c>
    </row>
    <row r="31" spans="1:41">
      <c r="A31" s="50" t="s">
        <v>173</v>
      </c>
      <c r="B31" s="50" t="s">
        <v>319</v>
      </c>
      <c r="C31" s="50" t="s">
        <v>43</v>
      </c>
      <c r="E31" s="50" t="s">
        <v>320</v>
      </c>
      <c r="K31" s="50" t="s">
        <v>321</v>
      </c>
      <c r="L31" s="50" t="s">
        <v>322</v>
      </c>
      <c r="M31" s="50" t="s">
        <v>323</v>
      </c>
      <c r="N31" s="50" t="s">
        <v>324</v>
      </c>
      <c r="O31" s="50" t="s">
        <v>325</v>
      </c>
      <c r="P31" s="50" t="s">
        <v>326</v>
      </c>
      <c r="R31" s="50" t="s">
        <v>327</v>
      </c>
      <c r="S31" s="50" t="s">
        <v>328</v>
      </c>
      <c r="T31" s="50" t="s">
        <v>329</v>
      </c>
      <c r="U31" s="50" t="s">
        <v>330</v>
      </c>
      <c r="V31" s="50" t="s">
        <v>331</v>
      </c>
      <c r="W31" s="50" t="s">
        <v>332</v>
      </c>
      <c r="X31" s="50" t="s">
        <v>333</v>
      </c>
      <c r="Y31" s="50" t="s">
        <v>334</v>
      </c>
      <c r="Z31" s="50" t="s">
        <v>335</v>
      </c>
      <c r="AA31" s="50" t="s">
        <v>336</v>
      </c>
      <c r="AB31" s="50" t="s">
        <v>337</v>
      </c>
      <c r="AC31" s="50" t="s">
        <v>338</v>
      </c>
      <c r="AD31" s="50" t="s">
        <v>339</v>
      </c>
      <c r="AE31" s="50" t="s">
        <v>338</v>
      </c>
      <c r="AF31" s="50" t="s">
        <v>72</v>
      </c>
      <c r="AG31" s="50" t="s">
        <v>340</v>
      </c>
      <c r="AH31" s="50" t="s">
        <v>73</v>
      </c>
      <c r="AI31" s="50" t="s">
        <v>74</v>
      </c>
      <c r="AJ31" s="50" t="s">
        <v>341</v>
      </c>
      <c r="AK31" s="50" t="s">
        <v>342</v>
      </c>
      <c r="AL31" s="50" t="s">
        <v>343</v>
      </c>
      <c r="AM31" s="50" t="s">
        <v>344</v>
      </c>
      <c r="AN31" s="50" t="s">
        <v>345</v>
      </c>
      <c r="AO31" s="50" t="s">
        <v>346</v>
      </c>
    </row>
    <row r="32" spans="1:41">
      <c r="A32" s="50" t="s">
        <v>173</v>
      </c>
      <c r="B32" s="50" t="s">
        <v>347</v>
      </c>
      <c r="C32" s="50" t="s">
        <v>43</v>
      </c>
      <c r="E32" s="50" t="s">
        <v>348</v>
      </c>
      <c r="K32" s="50" t="s">
        <v>349</v>
      </c>
      <c r="L32" s="50" t="s">
        <v>350</v>
      </c>
      <c r="M32" s="50" t="s">
        <v>351</v>
      </c>
      <c r="N32" s="50" t="s">
        <v>352</v>
      </c>
      <c r="O32" s="50" t="s">
        <v>353</v>
      </c>
      <c r="P32" s="50" t="s">
        <v>354</v>
      </c>
      <c r="R32" s="50" t="s">
        <v>355</v>
      </c>
      <c r="S32" s="50" t="s">
        <v>356</v>
      </c>
      <c r="T32" s="50" t="s">
        <v>357</v>
      </c>
      <c r="U32" s="50" t="s">
        <v>358</v>
      </c>
      <c r="V32" s="50" t="s">
        <v>359</v>
      </c>
      <c r="W32" s="50" t="s">
        <v>360</v>
      </c>
      <c r="X32" s="50" t="s">
        <v>361</v>
      </c>
      <c r="Y32" s="50" t="s">
        <v>362</v>
      </c>
      <c r="Z32" s="50" t="s">
        <v>363</v>
      </c>
      <c r="AA32" s="50" t="s">
        <v>364</v>
      </c>
      <c r="AB32" s="50" t="s">
        <v>365</v>
      </c>
      <c r="AC32" s="50" t="s">
        <v>366</v>
      </c>
      <c r="AD32" s="50" t="s">
        <v>367</v>
      </c>
      <c r="AE32" s="50" t="s">
        <v>366</v>
      </c>
      <c r="AF32" s="50" t="s">
        <v>72</v>
      </c>
      <c r="AG32" s="50" t="s">
        <v>368</v>
      </c>
      <c r="AH32" s="50" t="s">
        <v>73</v>
      </c>
      <c r="AI32" s="50" t="s">
        <v>74</v>
      </c>
      <c r="AJ32" s="50" t="s">
        <v>369</v>
      </c>
      <c r="AK32" s="50" t="s">
        <v>370</v>
      </c>
      <c r="AL32" s="50" t="s">
        <v>371</v>
      </c>
      <c r="AM32" s="50" t="s">
        <v>372</v>
      </c>
      <c r="AN32" s="50" t="s">
        <v>373</v>
      </c>
      <c r="AO32" s="50" t="s">
        <v>374</v>
      </c>
    </row>
    <row r="33" spans="1:41">
      <c r="A33" s="50" t="s">
        <v>173</v>
      </c>
      <c r="B33" s="50" t="s">
        <v>375</v>
      </c>
      <c r="C33" s="50" t="s">
        <v>43</v>
      </c>
      <c r="E33" s="50" t="s">
        <v>376</v>
      </c>
      <c r="K33" s="50" t="s">
        <v>377</v>
      </c>
      <c r="L33" s="50" t="s">
        <v>378</v>
      </c>
      <c r="M33" s="50" t="s">
        <v>379</v>
      </c>
      <c r="N33" s="50" t="s">
        <v>380</v>
      </c>
      <c r="O33" s="50" t="s">
        <v>381</v>
      </c>
      <c r="P33" s="50" t="s">
        <v>382</v>
      </c>
      <c r="R33" s="50" t="s">
        <v>383</v>
      </c>
      <c r="S33" s="50" t="s">
        <v>384</v>
      </c>
      <c r="T33" s="50" t="s">
        <v>385</v>
      </c>
      <c r="U33" s="50" t="s">
        <v>386</v>
      </c>
      <c r="V33" s="50" t="s">
        <v>387</v>
      </c>
      <c r="W33" s="50" t="s">
        <v>388</v>
      </c>
      <c r="X33" s="50" t="s">
        <v>389</v>
      </c>
      <c r="Y33" s="50" t="s">
        <v>390</v>
      </c>
      <c r="Z33" s="50" t="s">
        <v>391</v>
      </c>
      <c r="AA33" s="50" t="s">
        <v>392</v>
      </c>
      <c r="AB33" s="50" t="s">
        <v>393</v>
      </c>
      <c r="AC33" s="50" t="s">
        <v>394</v>
      </c>
      <c r="AD33" s="50" t="s">
        <v>395</v>
      </c>
      <c r="AE33" s="50" t="s">
        <v>394</v>
      </c>
      <c r="AF33" s="50" t="s">
        <v>72</v>
      </c>
      <c r="AG33" s="50" t="s">
        <v>396</v>
      </c>
      <c r="AH33" s="50" t="s">
        <v>73</v>
      </c>
      <c r="AI33" s="50" t="s">
        <v>74</v>
      </c>
      <c r="AJ33" s="50" t="s">
        <v>397</v>
      </c>
      <c r="AK33" s="50" t="s">
        <v>398</v>
      </c>
      <c r="AL33" s="50" t="s">
        <v>399</v>
      </c>
      <c r="AM33" s="50" t="s">
        <v>400</v>
      </c>
      <c r="AN33" s="50" t="s">
        <v>401</v>
      </c>
      <c r="AO33" s="50" t="s">
        <v>402</v>
      </c>
    </row>
    <row r="34" spans="1:41">
      <c r="B34" s="50" t="s">
        <v>403</v>
      </c>
      <c r="C34" s="50" t="s">
        <v>44</v>
      </c>
      <c r="E34" s="50" t="s">
        <v>135</v>
      </c>
      <c r="K34" s="50" t="s">
        <v>404</v>
      </c>
      <c r="L34" s="50" t="s">
        <v>405</v>
      </c>
      <c r="M34" s="50" t="s">
        <v>406</v>
      </c>
      <c r="N34" s="50" t="s">
        <v>407</v>
      </c>
      <c r="O34" s="50" t="s">
        <v>408</v>
      </c>
      <c r="P34" s="50" t="s">
        <v>409</v>
      </c>
      <c r="Q34" s="50" t="s">
        <v>410</v>
      </c>
      <c r="S34" s="50" t="s">
        <v>409</v>
      </c>
      <c r="T34" s="50" t="s">
        <v>411</v>
      </c>
      <c r="U34" s="50" t="s">
        <v>412</v>
      </c>
      <c r="V34" s="50" t="s">
        <v>413</v>
      </c>
      <c r="W34" s="50" t="s">
        <v>414</v>
      </c>
      <c r="X34" s="50" t="s">
        <v>415</v>
      </c>
      <c r="Y34" s="50" t="s">
        <v>416</v>
      </c>
      <c r="Z34" s="50" t="s">
        <v>417</v>
      </c>
      <c r="AA34" s="50" t="s">
        <v>418</v>
      </c>
      <c r="AB34" s="50" t="s">
        <v>419</v>
      </c>
    </row>
    <row r="35" spans="1:41">
      <c r="B35" s="50" t="s">
        <v>420</v>
      </c>
      <c r="C35" s="50" t="s">
        <v>45</v>
      </c>
      <c r="E35" s="50" t="s">
        <v>153</v>
      </c>
      <c r="K35" s="50" t="s">
        <v>421</v>
      </c>
      <c r="L35" s="50" t="s">
        <v>422</v>
      </c>
      <c r="M35" s="50" t="s">
        <v>423</v>
      </c>
      <c r="N35" s="50" t="s">
        <v>424</v>
      </c>
      <c r="O35" s="50" t="s">
        <v>425</v>
      </c>
      <c r="P35" s="50" t="s">
        <v>426</v>
      </c>
      <c r="Q35" s="50" t="s">
        <v>427</v>
      </c>
      <c r="S35" s="50" t="s">
        <v>426</v>
      </c>
      <c r="T35" s="50" t="s">
        <v>428</v>
      </c>
      <c r="U35" s="50" t="s">
        <v>429</v>
      </c>
      <c r="V35" s="50" t="s">
        <v>430</v>
      </c>
      <c r="W35" s="50" t="s">
        <v>431</v>
      </c>
      <c r="X35" s="50" t="s">
        <v>432</v>
      </c>
      <c r="Y35" s="50" t="s">
        <v>433</v>
      </c>
      <c r="Z35" s="50" t="s">
        <v>434</v>
      </c>
      <c r="AA35" s="50" t="s">
        <v>435</v>
      </c>
      <c r="AB35" s="50" t="s">
        <v>436</v>
      </c>
    </row>
    <row r="37" spans="1:41">
      <c r="AA37" s="50" t="s">
        <v>437</v>
      </c>
      <c r="AB37" s="50" t="s">
        <v>438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Option</vt:lpstr>
      <vt:lpstr>Data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cp:lastPrinted>2020-03-16T07:52:19Z</cp:lastPrinted>
  <dcterms:created xsi:type="dcterms:W3CDTF">2017-04-18T02:36:09Z</dcterms:created>
  <dcterms:modified xsi:type="dcterms:W3CDTF">2025-05-06T05:40:49Z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