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YUENFUN\XLS\SHS MONTHLY REPORT\2024\"/>
    </mc:Choice>
  </mc:AlternateContent>
  <xr:revisionPtr revIDLastSave="0" documentId="8_{D528A052-459F-4CF3-9D3A-33469A10AB2B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Customer Code" sheetId="89" r:id="rId3"/>
    <sheet name="Sheet1" sheetId="96" state="veryHidden" r:id="rId4"/>
    <sheet name="Sheet2" sheetId="97" state="veryHidden" r:id="rId5"/>
    <sheet name="Sheet3" sheetId="98" state="veryHidden" r:id="rId6"/>
    <sheet name="Sheet4" sheetId="99" state="veryHidden" r:id="rId7"/>
    <sheet name="Sheet5" sheetId="100" state="veryHidden" r:id="rId8"/>
    <sheet name="Sheet6" sheetId="101" state="veryHidden" r:id="rId9"/>
  </sheets>
  <definedNames>
    <definedName name="_xlnm._FilterDatabase" localSheetId="1" hidden="1">Data!$K$23:$AC$23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30" i="2" l="1"/>
  <c r="AL39" i="2" l="1"/>
  <c r="AK39" i="2"/>
  <c r="AH39" i="2"/>
  <c r="AE39" i="2"/>
  <c r="AC39" i="2"/>
  <c r="AA39" i="2"/>
  <c r="Z39" i="2"/>
  <c r="Y39" i="2"/>
  <c r="X39" i="2"/>
  <c r="U39" i="2"/>
  <c r="T39" i="2"/>
  <c r="S39" i="2"/>
  <c r="R39" i="2"/>
  <c r="P39" i="2"/>
  <c r="O39" i="2"/>
  <c r="L39" i="2"/>
  <c r="K39" i="2"/>
  <c r="AL38" i="2"/>
  <c r="AK38" i="2"/>
  <c r="AH38" i="2"/>
  <c r="AE38" i="2"/>
  <c r="AC38" i="2"/>
  <c r="AA38" i="2"/>
  <c r="Z38" i="2"/>
  <c r="Y38" i="2"/>
  <c r="X38" i="2"/>
  <c r="U38" i="2"/>
  <c r="T38" i="2"/>
  <c r="S38" i="2"/>
  <c r="R38" i="2"/>
  <c r="P38" i="2"/>
  <c r="O38" i="2"/>
  <c r="L38" i="2"/>
  <c r="K38" i="2"/>
  <c r="AL37" i="2"/>
  <c r="AK37" i="2"/>
  <c r="AH37" i="2"/>
  <c r="AE37" i="2"/>
  <c r="AC37" i="2"/>
  <c r="AA37" i="2"/>
  <c r="Z37" i="2"/>
  <c r="Y37" i="2"/>
  <c r="X37" i="2"/>
  <c r="U37" i="2"/>
  <c r="T37" i="2"/>
  <c r="S37" i="2"/>
  <c r="R37" i="2"/>
  <c r="P37" i="2"/>
  <c r="O37" i="2"/>
  <c r="L37" i="2"/>
  <c r="K37" i="2"/>
  <c r="AL36" i="2"/>
  <c r="AK36" i="2"/>
  <c r="AH36" i="2"/>
  <c r="AE36" i="2"/>
  <c r="AC36" i="2"/>
  <c r="AA36" i="2"/>
  <c r="Z36" i="2"/>
  <c r="Y36" i="2"/>
  <c r="X36" i="2"/>
  <c r="U36" i="2"/>
  <c r="T36" i="2"/>
  <c r="S36" i="2"/>
  <c r="R36" i="2"/>
  <c r="P36" i="2"/>
  <c r="O36" i="2"/>
  <c r="L36" i="2"/>
  <c r="K36" i="2"/>
  <c r="AL35" i="2"/>
  <c r="AK35" i="2"/>
  <c r="AH35" i="2"/>
  <c r="AE35" i="2"/>
  <c r="AC35" i="2"/>
  <c r="AA35" i="2"/>
  <c r="Z35" i="2"/>
  <c r="Y35" i="2"/>
  <c r="X35" i="2"/>
  <c r="U35" i="2"/>
  <c r="T35" i="2"/>
  <c r="S35" i="2"/>
  <c r="R35" i="2"/>
  <c r="P35" i="2"/>
  <c r="O35" i="2"/>
  <c r="L35" i="2"/>
  <c r="K35" i="2"/>
  <c r="AL34" i="2"/>
  <c r="AK34" i="2"/>
  <c r="AH34" i="2"/>
  <c r="AE34" i="2"/>
  <c r="AC34" i="2"/>
  <c r="AA34" i="2"/>
  <c r="Z34" i="2"/>
  <c r="Y34" i="2"/>
  <c r="X34" i="2"/>
  <c r="U34" i="2"/>
  <c r="T34" i="2"/>
  <c r="S34" i="2"/>
  <c r="R34" i="2"/>
  <c r="P34" i="2"/>
  <c r="O34" i="2"/>
  <c r="L34" i="2"/>
  <c r="K34" i="2"/>
  <c r="AL33" i="2"/>
  <c r="AK33" i="2"/>
  <c r="AH33" i="2"/>
  <c r="AE33" i="2"/>
  <c r="AC33" i="2"/>
  <c r="AA33" i="2"/>
  <c r="Z33" i="2"/>
  <c r="Y33" i="2"/>
  <c r="X33" i="2"/>
  <c r="U33" i="2"/>
  <c r="T33" i="2"/>
  <c r="S33" i="2"/>
  <c r="R33" i="2"/>
  <c r="P33" i="2"/>
  <c r="O33" i="2"/>
  <c r="L33" i="2"/>
  <c r="K33" i="2"/>
  <c r="AL32" i="2"/>
  <c r="AK32" i="2"/>
  <c r="AH32" i="2"/>
  <c r="AE32" i="2"/>
  <c r="AC32" i="2"/>
  <c r="AA32" i="2"/>
  <c r="Z32" i="2"/>
  <c r="Y32" i="2"/>
  <c r="X32" i="2"/>
  <c r="U32" i="2"/>
  <c r="T32" i="2"/>
  <c r="S32" i="2"/>
  <c r="R32" i="2"/>
  <c r="P32" i="2"/>
  <c r="O32" i="2"/>
  <c r="L32" i="2"/>
  <c r="K32" i="2"/>
  <c r="AL31" i="2"/>
  <c r="AK31" i="2"/>
  <c r="AH31" i="2"/>
  <c r="AE31" i="2"/>
  <c r="AC31" i="2"/>
  <c r="AA31" i="2"/>
  <c r="Z31" i="2"/>
  <c r="Y31" i="2"/>
  <c r="X31" i="2"/>
  <c r="U31" i="2"/>
  <c r="T31" i="2"/>
  <c r="S31" i="2"/>
  <c r="R31" i="2"/>
  <c r="P31" i="2"/>
  <c r="O31" i="2"/>
  <c r="L31" i="2"/>
  <c r="K31" i="2"/>
  <c r="AL30" i="2"/>
  <c r="AK30" i="2"/>
  <c r="AE30" i="2"/>
  <c r="AC30" i="2"/>
  <c r="AA30" i="2"/>
  <c r="Z30" i="2"/>
  <c r="Y30" i="2"/>
  <c r="X30" i="2"/>
  <c r="U30" i="2"/>
  <c r="T30" i="2"/>
  <c r="S30" i="2"/>
  <c r="R30" i="2"/>
  <c r="P30" i="2"/>
  <c r="O30" i="2"/>
  <c r="L30" i="2"/>
  <c r="K30" i="2"/>
  <c r="K29" i="2" l="1"/>
  <c r="K28" i="2"/>
  <c r="K27" i="2"/>
  <c r="K26" i="2"/>
  <c r="K25" i="2"/>
  <c r="K24" i="2"/>
  <c r="AO29" i="2"/>
  <c r="AN29" i="2"/>
  <c r="AM29" i="2"/>
  <c r="AO28" i="2"/>
  <c r="AN28" i="2"/>
  <c r="AM28" i="2"/>
  <c r="AO27" i="2"/>
  <c r="AN27" i="2"/>
  <c r="AM27" i="2"/>
  <c r="AO26" i="2"/>
  <c r="AN26" i="2"/>
  <c r="AM26" i="2"/>
  <c r="AO25" i="2"/>
  <c r="AN25" i="2"/>
  <c r="AM25" i="2"/>
  <c r="AO24" i="2"/>
  <c r="AN24" i="2"/>
  <c r="AM24" i="2"/>
  <c r="AA29" i="2"/>
  <c r="AA28" i="2"/>
  <c r="AA27" i="2"/>
  <c r="AA26" i="2"/>
  <c r="AL29" i="2"/>
  <c r="AK29" i="2"/>
  <c r="AL28" i="2"/>
  <c r="AK28" i="2"/>
  <c r="AL27" i="2"/>
  <c r="AK27" i="2"/>
  <c r="AL26" i="2"/>
  <c r="AK26" i="2"/>
  <c r="AL25" i="2"/>
  <c r="AK25" i="2"/>
  <c r="AL24" i="2"/>
  <c r="AK24" i="2"/>
  <c r="AA25" i="2"/>
  <c r="AA24" i="2"/>
  <c r="X25" i="2"/>
  <c r="X26" i="2"/>
  <c r="X27" i="2"/>
  <c r="X28" i="2"/>
  <c r="X29" i="2"/>
  <c r="X24" i="2"/>
  <c r="T29" i="2"/>
  <c r="T28" i="2"/>
  <c r="T27" i="2"/>
  <c r="T26" i="2"/>
  <c r="T25" i="2"/>
  <c r="T24" i="2"/>
  <c r="S29" i="2"/>
  <c r="R29" i="2"/>
  <c r="S28" i="2"/>
  <c r="R28" i="2"/>
  <c r="S27" i="2"/>
  <c r="R27" i="2"/>
  <c r="S26" i="2"/>
  <c r="R26" i="2"/>
  <c r="S25" i="2"/>
  <c r="R25" i="2"/>
  <c r="S24" i="2"/>
  <c r="R24" i="2"/>
  <c r="D5" i="1"/>
  <c r="B8" i="89"/>
  <c r="B7" i="89"/>
  <c r="E12" i="2"/>
  <c r="H6" i="2"/>
  <c r="H5" i="2"/>
  <c r="H4" i="2"/>
  <c r="E2" i="2"/>
  <c r="D30" i="1"/>
  <c r="D29" i="1"/>
  <c r="D14" i="1"/>
  <c r="C13" i="1" s="1"/>
  <c r="E16" i="2" s="1"/>
  <c r="D13" i="1"/>
  <c r="C12" i="1"/>
  <c r="E15" i="2" s="1"/>
  <c r="C11" i="1"/>
  <c r="E14" i="2" s="1"/>
  <c r="C10" i="1"/>
  <c r="E13" i="2" s="1"/>
  <c r="C5" i="1"/>
  <c r="C4" i="1"/>
  <c r="C3" i="1"/>
  <c r="C9" i="1" s="1"/>
  <c r="E11" i="2" s="1"/>
  <c r="D6" i="2" l="1"/>
  <c r="D5" i="2"/>
  <c r="I6" i="2"/>
  <c r="I5" i="2"/>
  <c r="D4" i="2"/>
  <c r="E4" i="2" s="1"/>
  <c r="C8" i="1"/>
  <c r="E5" i="2" l="1"/>
  <c r="E6" i="2"/>
</calcChain>
</file>

<file path=xl/sharedStrings.xml><?xml version="1.0" encoding="utf-8"?>
<sst xmlns="http://schemas.openxmlformats.org/spreadsheetml/2006/main" count="1317" uniqueCount="521">
  <si>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</si>
  <si>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</si>
  <si>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</si>
  <si>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</si>
  <si>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</si>
  <si>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</si>
  <si>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</si>
  <si>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</si>
  <si>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</si>
  <si>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</si>
  <si>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</si>
  <si>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</si>
  <si>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</si>
  <si>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</si>
  <si>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</si>
  <si>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</si>
  <si>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</si>
  <si>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</si>
  <si>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</si>
  <si>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</si>
  <si>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</si>
  <si>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</si>
  <si>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</si>
  <si>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</si>
  <si>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</si>
  <si>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</si>
  <si>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</si>
  <si>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</si>
  <si>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</si>
  <si>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</si>
  <si>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</si>
  <si>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</si>
  <si>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Cust Pur No</t>
  </si>
  <si>
    <t>Items</t>
  </si>
  <si>
    <t>Institution</t>
  </si>
  <si>
    <t>MSENR</t>
  </si>
  <si>
    <t>Script3</t>
  </si>
  <si>
    <t>ENR</t>
  </si>
  <si>
    <t>PRODTYPE</t>
  </si>
  <si>
    <t>BPCODE</t>
  </si>
  <si>
    <t>SINGHEALTH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</si>
  <si>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</si>
  <si>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</si>
  <si>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</si>
  <si>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</si>
  <si>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</si>
  <si>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</si>
  <si>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</si>
  <si>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</si>
  <si>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Unit Price</t>
  </si>
  <si>
    <t>Total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</si>
  <si>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99,100,101,102,103,104,105,106,107,108,109,110,111.112,113,114,115,116,117,123</t>
  </si>
  <si>
    <t>SHS</t>
  </si>
  <si>
    <t>Original Code  - before Mar 2020</t>
  </si>
  <si>
    <t>Month</t>
  </si>
  <si>
    <t>Year</t>
  </si>
  <si>
    <t>PCN</t>
  </si>
  <si>
    <t>Cluster</t>
  </si>
  <si>
    <t>Date of Licenses key Emailed</t>
  </si>
  <si>
    <t>Elasped days for delivery</t>
  </si>
  <si>
    <t>Bulk Purchase Discount %</t>
  </si>
  <si>
    <t>PO Value</t>
  </si>
  <si>
    <t>Reseller</t>
  </si>
  <si>
    <t>Delivery Location</t>
  </si>
  <si>
    <t>Category</t>
  </si>
  <si>
    <t>Software  Brand</t>
  </si>
  <si>
    <t>Software  SKU/Part No</t>
  </si>
  <si>
    <t>Software  Name</t>
  </si>
  <si>
    <t>Software  Subscription</t>
  </si>
  <si>
    <t>Software License Commencement Date</t>
  </si>
  <si>
    <t>Software License End Date</t>
  </si>
  <si>
    <t>Remarks</t>
  </si>
  <si>
    <t>UIC</t>
  </si>
  <si>
    <t xml:space="preserve"> </t>
  </si>
  <si>
    <t>Microsoft</t>
  </si>
  <si>
    <t>Singhealth</t>
  </si>
  <si>
    <t>Auto+Hide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</si>
  <si>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</si>
  <si>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</si>
  <si>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</si>
  <si>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</si>
  <si>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"</t>
  </si>
  <si>
    <t>="'MS'"</t>
  </si>
  <si>
    <t>=$D$13&amp;$D$14</t>
  </si>
  <si>
    <t>="'CI1077-SGD', 'CI1136-SGD', 'CI1137-SGD', 'CI1139-SGD', 'CI1146-SGD', 'CI1185-SGD', 'CI1190-SGD','CI1209-SGD','CI1232-SGD','CI1256-SGD','CN0015-SGD','CE0080-SGD','CS0084-SGD',"</t>
  </si>
  <si>
    <t>="'CS0085-SGD','CI1238-SGD','CI1190-SGD','CS0086-SGD','CS0507-SGD','CS0507-SGD','CI1261-SGD','CS0085-SGD','CC0128-SGD','CS0222-SGD','CS0226-SGD','CS0653-SGD','CI1277-SGD','CB0059-SGD''CS0678-SGD','CS0653-SGD','CS0276-SGD','CS0200-SGD'"</t>
  </si>
  <si>
    <t>="'CS0085-SGD','CS0086-SGD','CS0507-SGD','CS0507-SGD','CI1261-SGD','CS0085-SGD','CC0128-SGD','CS0222-SGD','CS0226-SGD','CS0653-SGD','CI1277-SGD'"</t>
  </si>
  <si>
    <t>Auto+Hide+HideSheet+Formulas=Sheet1,Sheet2+FormulasOnly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</si>
  <si>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</si>
  <si>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</si>
  <si>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</si>
  <si>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</si>
  <si>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</si>
  <si>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</si>
  <si>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</si>
  <si>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</si>
  <si>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</si>
  <si>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</si>
  <si>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</si>
  <si>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</si>
  <si>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</si>
  <si>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</si>
  <si>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</si>
  <si>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</si>
  <si>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</si>
  <si>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</si>
  <si>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</si>
  <si>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</si>
  <si>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</si>
  <si>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</si>
  <si>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</si>
  <si>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</si>
  <si>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</si>
  <si>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</si>
  <si>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</si>
  <si>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</si>
  <si>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</si>
  <si>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</si>
  <si>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</si>
  <si>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</si>
  <si>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</si>
  <si>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=IFERROR(NF($E24,"LINETOTAL"),"-")</t>
  </si>
  <si>
    <t>=IFERROR(NF($E24,"U_BPurDisc"),"-")</t>
  </si>
  <si>
    <t>=IFERROR(NF($E24,"ADDRESS2"),"-")</t>
  </si>
  <si>
    <t>=IFERROR(NF($E24,"ItemCode"),"-")</t>
  </si>
  <si>
    <t>=IFERROR(NF($E24,"ItemName"),"-")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</si>
  <si>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</si>
  <si>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</si>
  <si>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</si>
  <si>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</si>
  <si>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</si>
  <si>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</si>
  <si>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</si>
  <si>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</si>
  <si>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</si>
  <si>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</si>
  <si>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</si>
  <si>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</si>
  <si>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</si>
  <si>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</si>
  <si>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</si>
  <si>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</si>
  <si>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</si>
  <si>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=IFERROR(NF($E25,"ADDRESS2"),"-")</t>
  </si>
  <si>
    <t>=IFERROR(NF($E25,"U_PODATE"),"-")</t>
  </si>
  <si>
    <t>=IFERROR(NF($E25,"U_PONO"),"-")</t>
  </si>
  <si>
    <t>=IFERROR(NF($E25,"LINETOTAL"),"-")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</si>
  <si>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</si>
  <si>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</si>
  <si>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</si>
  <si>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</si>
  <si>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</si>
  <si>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</si>
  <si>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</si>
  <si>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</si>
  <si>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</si>
  <si>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</si>
  <si>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</si>
  <si>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</si>
  <si>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</si>
  <si>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=IFERROR(NF($E26,"ADDRESS2"),"-")</t>
  </si>
  <si>
    <t>=IFERROR(NF($E26,"U_PODATE"),"-")</t>
  </si>
  <si>
    <t>=IFERROR(NF($E26,"U_PONO"),"-")</t>
  </si>
  <si>
    <t>=IFERROR(NF($E26,"LINETOTAL"),"-")</t>
  </si>
  <si>
    <t>=SUBTOTAL(9,AB24:AB27)</t>
  </si>
  <si>
    <t>Auto+Hide+Values+Formulas=Sheet3,Sheet4+FormulasOnly</t>
  </si>
  <si>
    <t>Auto</t>
  </si>
  <si>
    <t>Auto+Hide+HideSheet+Formulas=Sheet5,Sheet1,Sheet2</t>
  </si>
  <si>
    <t>Auto+Hide+HideSheet+Formulas=Sheet5,Sheet1,Sheet2+FormulasOnly</t>
  </si>
  <si>
    <t>Auto+Hide+Values+Formulas=Sheet6,Sheet3,Sheet4</t>
  </si>
  <si>
    <t>=MONTH(N25)</t>
  </si>
  <si>
    <t>=YEAR(N25)</t>
  </si>
  <si>
    <t>=IFERROR(NF($E25,"U_MSPCN"),"-")</t>
  </si>
  <si>
    <t>=IFERROR(NF($E25,"U_PODate"),"-")</t>
  </si>
  <si>
    <t>=IFERROR(NF($E25,"DOCdate"),"-")</t>
  </si>
  <si>
    <t>=IFERROR(NF($E25,"U_BPurDisc"),"-")</t>
  </si>
  <si>
    <t>=IFERROR(NF($E25,"ItemCode"),"-")</t>
  </si>
  <si>
    <t>=IFERROR(NF($E25,"ItemName"),"-")</t>
  </si>
  <si>
    <t>=IFERROR(NF($E25,"U_SWSub"),"-")</t>
  </si>
  <si>
    <t>=IFERROR(NF($E25,"U_LicComDt"),"-")</t>
  </si>
  <si>
    <t>=IFERROR(NF($E25,"U_LicEndDt"),"-")</t>
  </si>
  <si>
    <t>=IFERROR(NF($E25,"Comments"),"-")</t>
  </si>
  <si>
    <t>=MONTH(N26)</t>
  </si>
  <si>
    <t>=YEAR(N26)</t>
  </si>
  <si>
    <t>=IFERROR(NF($E26,"U_MSPCN"),"-")</t>
  </si>
  <si>
    <t>=IFERROR(NF($E26,"U_PODate"),"-")</t>
  </si>
  <si>
    <t>=IFERROR(NF($E26,"DOCdate"),"-")</t>
  </si>
  <si>
    <t>=IFERROR(NF($E26,"U_BPurDisc"),"-")</t>
  </si>
  <si>
    <t>=IFERROR(NF($E26,"ItemCode"),"-")</t>
  </si>
  <si>
    <t>=IFERROR(NF($E26,"ItemName"),"-")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</si>
  <si>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</si>
  <si>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</si>
  <si>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</si>
  <si>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</si>
  <si>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=IF(K27="","Hide","Show")</t>
  </si>
  <si>
    <t>=IFERROR(NF($E27,"DOCNUM"),"-")</t>
  </si>
  <si>
    <t>=IFERROR(NF($E27,"DOCDATE"),"-")</t>
  </si>
  <si>
    <t>=IFERROR(NF($E27,"U_MSENR"),"-")</t>
  </si>
  <si>
    <t>=IFERROR(NF($E27,"CARDCODE"),"-")</t>
  </si>
  <si>
    <t>=IFERROR(NF($E27,"CARDNAME"),"-")</t>
  </si>
  <si>
    <t>=IFERROR(NF($E27,"ITEMCODE"),"-")</t>
  </si>
  <si>
    <t>=IFERROR(NF($E27,"U_CUSTREF"),"-")</t>
  </si>
  <si>
    <t>=IFERROR(NF($E27,"ITEMNAME"),"-")</t>
  </si>
  <si>
    <t>=IFERROR(NF($E27,"MEMO"),"-")</t>
  </si>
  <si>
    <t>=IFERROR(NF($E27,"QUANTITY"),"-")</t>
  </si>
  <si>
    <t>=IFERROR(NF($E27,"ADDRESS2"),"-")</t>
  </si>
  <si>
    <t>=IFERROR(NF($E27,"U_PONO"),"-")</t>
  </si>
  <si>
    <t>=IFERROR(NF($E27,"LINETOTAL"),"-")</t>
  </si>
  <si>
    <t>=IF(K28="","Hide","Show")</t>
  </si>
  <si>
    <t>=IFERROR(NF($E28,"DOCNUM"),"-")</t>
  </si>
  <si>
    <t>=IFERROR(NF($E28,"DOCDATE"),"-")</t>
  </si>
  <si>
    <t>=IFERROR(NF($E28,"U_MSENR"),"-")</t>
  </si>
  <si>
    <t>=IFERROR(NF($E28,"CARDCODE"),"-")</t>
  </si>
  <si>
    <t>=IFERROR(NF($E28,"CARDNAME"),"-")</t>
  </si>
  <si>
    <t>=IFERROR(NF($E28,"ITEMCODE"),"-")</t>
  </si>
  <si>
    <t>=IFERROR(NF($E28,"U_CUSTREF"),"-")</t>
  </si>
  <si>
    <t>=IFERROR(NF($E28,"ITEMNAME"),"-")</t>
  </si>
  <si>
    <t>=IFERROR(NF($E28,"MEMO"),"-")</t>
  </si>
  <si>
    <t>=IFERROR(NF($E28,"QUANTITY"),"-")</t>
  </si>
  <si>
    <t>=IFERROR(NF($E28,"ADDRESS2"),"-")</t>
  </si>
  <si>
    <t>=IFERROR(NF($E28,"U_PONO"),"-")</t>
  </si>
  <si>
    <t>=IFERROR(NF($E28,"LINETOTAL"),"-")</t>
  </si>
  <si>
    <t>Auto+Hide+Values+Formulas=Sheet6,Sheet3,Sheet4+FormulasOnly</t>
  </si>
  <si>
    <t>PO NO</t>
  </si>
  <si>
    <t>="01/12/2022"</t>
  </si>
  <si>
    <t>="30/12/2022"</t>
  </si>
  <si>
    <t>=IFERROR(NF($E24,"U_PONO"),"-")</t>
  </si>
  <si>
    <t>=SUM(N24-V24)</t>
  </si>
  <si>
    <t>=IFERROR(AD24/AB24,0)</t>
  </si>
  <si>
    <t>=IFERROR(AC25/W25,0)</t>
  </si>
  <si>
    <t>=IFERROR(AC26/W26,0)</t>
  </si>
  <si>
    <t>=SUBTOTAL(9,AC24:AC27)</t>
  </si>
  <si>
    <t>="""UICACS"","""",""SQL="",""2=DOCNUM"",""33030342"",""14=CUSTREF"",""6722001013"",""14=U_CUSTREF"",""6722001013"",""15=DOCDATE"",""5/12/2022"",""15=TAXDATE"",""5/12/2022"",""14=CARDCODE"",""CI1256-SGD"",""14=CARDNAME"",""SINGAPORE HEALTH SERVICES PTE LTD"",""14=ITEMCODE"",""MS7JQ-00353GLP"",""1"&amp;"4=ITEMNAME"",""MS SQLSVRENTCORE SNGL LICSAPK MVL 2LIC CORELIC"",""10=QUANTITY"",""8.000000"",""14=U_PONO"",""940419"",""15=U_PODATE"",""1/12/2022"",""10=U_TLINTCOS"",""0.000000"",""2=SLPCODE"",""132"",""14=SLPNAME"",""E0001-CS"",""14=MEMO"",""WENDY KUM CHIOU SZE"",""14=CONTACTNAME"",""FIN"&amp;"ANCE DEPARTMENT"",""10=LINETOTAL"",""171804.240000"",""14=U_ENR"","""",""14=U_MSENR"",""S7138270"",""14=U_MSPCN"",""A8AA53F5"",""14=ADDRESS2"",""KELVIN LI_x000D_INTEGRATED HEALTH INFORMATION SYSTEMS 6 SERANGOON NORTH AVE 5, #01-01/02, SINGAPORE 554910_x000D_MR KELVIN LI_x000D_TEL: 65941609/97"&amp;"832186_x000D_FAX: _x000D_EMAIL: kelvin.li@ihis.com.sg"""</t>
  </si>
  <si>
    <t>=SUM(N25-V25)</t>
  </si>
  <si>
    <t>=IFERROR(AD25/AB25,0)</t>
  </si>
  <si>
    <t>="""UICACS"","""",""SQL="",""2=DOCNUM"",""33030351"",""14=CUSTREF"",""6722001092"",""14=U_CUSTREF"",""6722001092"",""15=DOCDATE"",""6/12/2022"",""15=TAXDATE"",""6/12/2022"",""14=CARDCODE"",""CI1256-SGD"",""14=CARDNAME"",""SINGAPORE HEALTH SERVICES PTE LTD"",""14=ITEMCODE"",""MS7JQ-00355GLP"",""1"&amp;"4=ITEMNAME"",""MS SQLSVRENTCORE SNGL SA MVL 2LIC CORELIC"",""10=QUANTITY"",""4.000000"",""14=U_PONO"",""940420"",""15=U_PODATE"",""1/12/2022"",""10=U_TLINTCOS"",""0.000000"",""2=SLPCODE"",""132"",""14=SLPNAME"",""E0001-CS"",""14=MEMO"",""WENDY KUM CHIOU SZE"",""14=CONTACTNAME"",""FINANCE "&amp;"DEPARTMENT"",""10=LINETOTAL"",""36346.840000"",""14=U_ENR"","""",""14=U_MSENR"",""S7138270"",""14=U_MSPCN"",""A8AA53F5"",""14=ADDRESS2"",""HENRY GOH_x000D_NATIONAL HEART CENTRE SINGAPORE   SINGAPORE 169608_x000D_HENRY GOH SUN(66317343)_x000D_TEL: 9666 9516_x000D_FAX: _x000D_EMAIL: HENRY.GOH@IHIS.COM"""</t>
  </si>
  <si>
    <t>=SUM(N26-V26)</t>
  </si>
  <si>
    <t>=IFERROR(AD26/AB26,0)</t>
  </si>
  <si>
    <t>="""UICACS"","""",""SQL="",""2=DOCNUM"",""33030351"",""14=CUSTREF"",""6722001092"",""14=U_CUSTREF"",""6722001092"",""15=DOCDATE"",""6/12/2022"",""15=TAXDATE"",""6/12/2022"",""14=CARDCODE"",""CI1256-SGD"",""14=CARDNAME"",""SINGAPORE HEALTH SERVICES PTE LTD"",""14=ITEMCODE"",""MS7NQ-00301GLP"",""1"&amp;"4=ITEMNAME"",""MS SQLSVRSTDCORE SNGL SA MVL 2LIC CORELIC"",""10=QUANTITY"",""2.000000"",""14=U_PONO"",""940420"",""15=U_PODATE"",""1/12/2022"",""10=U_TLINTCOS"",""0.000000"",""2=SLPCODE"",""132"",""14=SLPNAME"",""E0001-CS"",""14=MEMO"",""WENDY KUM CHIOU SZE"",""14=CONTACTNAME"",""FINANCE "&amp;"DEPARTMENT"",""10=LINETOTAL"",""4736.560000"",""14=U_ENR"","""",""14=U_MSENR"",""S7138270"",""14=U_MSPCN"",""A8AA53F5"",""14=ADDRESS2"",""HENRY GOH_x000D_NATIONAL HEART CENTRE SINGAPORE   SINGAPORE 169608_x000D_HENRY GOH SUN(66317343)_x000D_TEL: 9666 9516_x000D_FAX: _x000D_EMAIL: HENRY.GOH@IHIS.COM"""</t>
  </si>
  <si>
    <t>=MONTH(N27)</t>
  </si>
  <si>
    <t>=YEAR(N27)</t>
  </si>
  <si>
    <t>=IFERROR(NF($E27,"U_MSPCN"),"-")</t>
  </si>
  <si>
    <t>=IFERROR(NF($E27,"U_PODate"),"-")</t>
  </si>
  <si>
    <t>=IFERROR(NF($E27,"DOCdate"),"-")</t>
  </si>
  <si>
    <t>=SUM(N27-V27)</t>
  </si>
  <si>
    <t>=IFERROR(AD27/AB27,0)</t>
  </si>
  <si>
    <t>=IFERROR(NF($E27,"U_BPurDisc"),"-")</t>
  </si>
  <si>
    <t>=IFERROR(NF($E27,"ItemCode"),"-")</t>
  </si>
  <si>
    <t>=IFERROR(NF($E27,"ItemName"),"-")</t>
  </si>
  <si>
    <t>=IFERROR(NF($E27,"U_SWSub"),"-")</t>
  </si>
  <si>
    <t>=IFERROR(NF($E27,"U_LicComDt"),"-")</t>
  </si>
  <si>
    <t>=IFERROR(NF($E27,"U_LicEndDt"),"-")</t>
  </si>
  <si>
    <t>=IFERROR(NF($E27,"Comments"),"-")</t>
  </si>
  <si>
    <t>="""UICACS"","""",""SQL="",""2=DOCNUM"",""33030370"",""14=CUSTREF"",""6722001293"",""14=U_CUSTREF"",""6722001293"",""15=DOCDATE"",""9/12/2022"",""15=TAXDATE"",""9/12/2022"",""14=CARDCODE"",""CI1256-SGD"",""14=CARDNAME"",""SINGAPORE HEALTH SERVICES PTE LTD"",""14=ITEMCODE"",""MS9EA-01290GLP"",""1"&amp;"4=ITEMNAME"",""MS WIN SVR DC CORE 2022 SNGL 16 LIC CORE LIC"",""10=QUANTITY"",""24.000000"",""14=U_PONO"",""ESU940478"",""15=U_PODATE"",""5/12/2022"",""10=U_TLINTCOS"",""0.000000"",""2=SLPCODE"",""132"",""14=SLPNAME"",""E0001-CS"",""14=MEMO"",""WENDY KUM CHIOU SZE"",""14=CONTACTNAME"",""F"&amp;"INANCE DEPARTMENT"",""10=LINETOTAL"",""133714.080000"",""14=U_ENR"","""",""14=U_MSENR"",""S7138270"",""14=U_MSPCN"",""A8AA53F5"",""14=ADDRESS2"",""SINGAPORE HEALTH SERVICES _x000D_168 JALAN BUKIT MERAH _x000D_SURBANA ONE, #16-01 _x000D_SINGAPORE 150168_x000D_ATTN: LUCAS CHEW TECK HUA_x000D_TEL: 81210785_x000D_"&amp;"EMAIL: YEE.WEI.HENG@SINHEALTH.COM.SG"""</t>
  </si>
  <si>
    <t>=MONTH(N28)</t>
  </si>
  <si>
    <t>=YEAR(N28)</t>
  </si>
  <si>
    <t>=IFERROR(NF($E28,"U_MSPCN"),"-")</t>
  </si>
  <si>
    <t>=IFERROR(NF($E28,"U_PODate"),"-")</t>
  </si>
  <si>
    <t>=IFERROR(NF($E28,"DOCdate"),"-")</t>
  </si>
  <si>
    <t>=SUM(N28-V28)</t>
  </si>
  <si>
    <t>=IFERROR(AD28/AB28,0)</t>
  </si>
  <si>
    <t>=IFERROR(NF($E28,"U_BPurDisc"),"-")</t>
  </si>
  <si>
    <t>=IFERROR(NF($E28,"ItemCode"),"-")</t>
  </si>
  <si>
    <t>=IFERROR(NF($E28,"ItemName"),"-")</t>
  </si>
  <si>
    <t>=IFERROR(NF($E28,"U_SWSub"),"-")</t>
  </si>
  <si>
    <t>=IFERROR(NF($E28,"U_LicComDt"),"-")</t>
  </si>
  <si>
    <t>=IFERROR(NF($E28,"U_LicEndDt"),"-")</t>
  </si>
  <si>
    <t>=IFERROR(NF($E28,"Comments"),"-")</t>
  </si>
  <si>
    <t>=IF(K29="","Hide","Show")</t>
  </si>
  <si>
    <t>="""UICACS"","""",""SQL="",""2=DOCNUM"",""33030370"",""14=CUSTREF"",""6722001293"",""14=U_CUSTREF"",""6722001293"",""15=DOCDATE"",""9/12/2022"",""15=TAXDATE"",""9/12/2022"",""14=CARDCODE"",""CI1256-SGD"",""14=CARDNAME"",""SINGAPORE HEALTH SERVICES PTE LTD"",""14=ITEMCODE"",""MS9EM-00832GLP"",""1"&amp;"4=ITEMNAME"",""MS WIN SVR STD CORE 2022 SNGL 2  LIC CORE LIC"",""10=QUANTITY"",""3332.000000"",""14=U_PONO"",""ESU940478"",""15=U_PODATE"",""5/12/2022"",""10=U_TLINTCOS"",""0.000000"",""2=SLPCODE"",""132"",""14=SLPNAME"",""E0001-CS"",""14=MEMO"",""WENDY KUM CHIOU SZE"",""14=CONTACTNAME"""&amp;",""FINANCE DEPARTMENT"",""10=LINETOTAL"",""408736.440000"",""14=U_ENR"","""",""14=U_MSENR"",""S7138270"",""14=U_MSPCN"",""A8AA53F5"",""14=ADDRESS2"",""SINGAPORE HEALTH SERVICES _x000D_168 JALAN BUKIT MERAH _x000D_SURBANA ONE, #16-01 _x000D_SINGAPORE 150168_x000D_ATTN: LUCAS CHEW TECK HUA_x000D_TEL: 812107"&amp;"85_x000D_EMAIL: YEE.WEI.HENG@SINHEALTH.COM.SG"""</t>
  </si>
  <si>
    <t>=MONTH(N29)</t>
  </si>
  <si>
    <t>=YEAR(N29)</t>
  </si>
  <si>
    <t>=IFERROR(NF($E29,"DOCNUM"),"-")</t>
  </si>
  <si>
    <t>=IFERROR(NF($E29,"DOCDATE"),"-")</t>
  </si>
  <si>
    <t>=IFERROR(NF($E29,"U_MSENR"),"-")</t>
  </si>
  <si>
    <t>=IFERROR(NF($E29,"U_MSPCN"),"-")</t>
  </si>
  <si>
    <t>=IFERROR(NF($E29,"CARDCODE"),"-")</t>
  </si>
  <si>
    <t>=IFERROR(NF($E29,"CARDNAME"),"-")</t>
  </si>
  <si>
    <t>=IFERROR(NF($E29,"U_CUSTREF"),"-")</t>
  </si>
  <si>
    <t>=IFERROR(NF($E29,"U_PONO"),"-")</t>
  </si>
  <si>
    <t>=IFERROR(NF($E29,"U_PODate"),"-")</t>
  </si>
  <si>
    <t>=IFERROR(NF($E29,"DOCdate"),"-")</t>
  </si>
  <si>
    <t>=SUM(N29-V29)</t>
  </si>
  <si>
    <t>=IFERROR(NF($E29,"ITEMCODE"),"-")</t>
  </si>
  <si>
    <t>=IFERROR(NF($E29,"ITEMNAME"),"-")</t>
  </si>
  <si>
    <t>=IFERROR(NF($E29,"MEMO"),"-")</t>
  </si>
  <si>
    <t>=IFERROR(NF($E29,"QUANTITY"),"-")</t>
  </si>
  <si>
    <t>=IFERROR(AD29/AB29,0)</t>
  </si>
  <si>
    <t>=IFERROR(NF($E29,"LINETOTAL"),"-")</t>
  </si>
  <si>
    <t>=IFERROR(NF($E29,"U_BPurDisc"),"-")</t>
  </si>
  <si>
    <t>=IFERROR(NF($E29,"ADDRESS2"),"-")</t>
  </si>
  <si>
    <t>=IFERROR(NF($E29,"ItemCode"),"-")</t>
  </si>
  <si>
    <t>=IFERROR(NF($E29,"ItemName"),"-")</t>
  </si>
  <si>
    <t>=IFERROR(NF($E29,"U_SWSub"),"-")</t>
  </si>
  <si>
    <t>=IFERROR(NF($E29,"U_LicComDt"),"-")</t>
  </si>
  <si>
    <t>=IFERROR(NF($E29,"U_LicEndDt"),"-")</t>
  </si>
  <si>
    <t>=IFERROR(NF($E29,"Comments"),"-")</t>
  </si>
  <si>
    <t>=IF(K30="","Hide","Show")</t>
  </si>
  <si>
    <t>="""UICACS"","""",""SQL="",""2=DOCNUM"",""33030370"",""14=CUSTREF"",""6722001293"",""14=U_CUSTREF"",""6722001293"",""15=DOCDATE"",""9/12/2022"",""15=TAXDATE"",""9/12/2022"",""14=CARDCODE"",""CI1256-SGD"",""14=CARDNAME"",""SINGAPORE HEALTH SERVICES PTE LTD"",""14=ITEMCODE"",""MS7JQ-01631GLP"",""1"&amp;"4=ITEMNAME"",""MS SQLSVRENTCORE 2019 SNGL MVL 2LIC CORELIC"",""10=QUANTITY"",""16.000000"",""14=U_PONO"",""ESU940478"",""15=U_PODATE"",""5/12/2022"",""10=U_TLINTCOS"",""0.000000"",""2=SLPCODE"",""132"",""14=SLPNAME"",""E0001-CS"",""14=MEMO"",""WENDY KUM CHIOU SZE"",""14=CONTACTNAME"",""FI"&amp;"NANCE DEPARTMENT"",""10=LINETOTAL"",""199076.640000"",""14=U_ENR"","""",""14=U_MSENR"",""S7138270"",""14=U_MSPCN"",""A8AA53F5"",""14=ADDRESS2"",""SINGAPORE HEALTH SERVICES _x000D_168 JALAN BUKIT MERAH _x000D_SURBANA ONE, #16-01 _x000D_SINGAPORE 150168_x000D_ATTN: LUCAS CHEW TECK HUA_x000D_TEL: 81210785_x000D_E"&amp;"MAIL: YEE.WEI.HENG@SINHEALTH.COM.SG"""</t>
  </si>
  <si>
    <t>=MONTH(N30)</t>
  </si>
  <si>
    <t>=YEAR(N30)</t>
  </si>
  <si>
    <t>=IFERROR(NF($E30,"DOCNUM"),"-")</t>
  </si>
  <si>
    <t>=IFERROR(NF($E30,"DOCDATE"),"-")</t>
  </si>
  <si>
    <t>=IFERROR(NF($E30,"U_MSENR"),"-")</t>
  </si>
  <si>
    <t>=IFERROR(NF($E30,"U_MSPCN"),"-")</t>
  </si>
  <si>
    <t>=IFERROR(NF($E30,"CARDCODE"),"-")</t>
  </si>
  <si>
    <t>=IFERROR(NF($E30,"CARDNAME"),"-")</t>
  </si>
  <si>
    <t>=IFERROR(NF($E30,"U_CUSTREF"),"-")</t>
  </si>
  <si>
    <t>=IFERROR(NF($E30,"U_PONO"),"-")</t>
  </si>
  <si>
    <t>=IFERROR(NF($E30,"U_PODate"),"-")</t>
  </si>
  <si>
    <t>=IFERROR(NF($E30,"DOCdate"),"-")</t>
  </si>
  <si>
    <t>=SUM(N30-V30)</t>
  </si>
  <si>
    <t>=IFERROR(NF($E30,"ITEMCODE"),"-")</t>
  </si>
  <si>
    <t>=IFERROR(NF($E30,"ITEMNAME"),"-")</t>
  </si>
  <si>
    <t>=IFERROR(NF($E30,"MEMO"),"-")</t>
  </si>
  <si>
    <t>=IFERROR(NF($E30,"QUANTITY"),"-")</t>
  </si>
  <si>
    <t>=IFERROR(AD30/AB30,0)</t>
  </si>
  <si>
    <t>=IFERROR(NF($E30,"LINETOTAL"),"-")</t>
  </si>
  <si>
    <t>=IFERROR(NF($E30,"U_BPurDisc"),"-")</t>
  </si>
  <si>
    <t>=IFERROR(NF($E30,"ADDRESS2"),"-")</t>
  </si>
  <si>
    <t>=IFERROR(NF($E30,"ItemCode"),"-")</t>
  </si>
  <si>
    <t>=IFERROR(NF($E30,"ItemName"),"-")</t>
  </si>
  <si>
    <t>=IFERROR(NF($E30,"U_SWSub"),"-")</t>
  </si>
  <si>
    <t>=IFERROR(NF($E30,"U_LicComDt"),"-")</t>
  </si>
  <si>
    <t>=IFERROR(NF($E30,"U_LicEndDt"),"-")</t>
  </si>
  <si>
    <t>=IFERROR(NF($E30,"Comments"),"-")</t>
  </si>
  <si>
    <t>=IF(K31="","Hide","Show")</t>
  </si>
  <si>
    <t>="""UICACS"","""",""SQL="",""2=DOCNUM"",""33030370"",""14=CUSTREF"",""6722001293"",""14=U_CUSTREF"",""6722001293"",""15=DOCDATE"",""9/12/2022"",""15=TAXDATE"",""9/12/2022"",""14=CARDCODE"",""CI1256-SGD"",""14=CARDNAME"",""SINGAPORE HEALTH SERVICES PTE LTD"",""14=ITEMCODE"",""MS6VC-04397GLP"",""1"&amp;"4=ITEMNAME"",""MS WIN REMOTE DESKTOP SERVICES CAL 2022 SNGL UCAL"",""10=QUANTITY"",""8500.000000"",""14=U_PONO"",""ESU940478"",""15=U_PODATE"",""5/12/2022"",""10=U_TLINTCOS"",""0.000000"",""2=SLPCODE"",""132"",""14=SLPNAME"",""E0001-CS"",""14=MEMO"",""WENDY KUM CHIOU SZE"",""14=CONTACTN"&amp;"AME"",""FINANCE DEPARTMENT"",""10=LINETOTAL"",""1113415.000000"",""14=U_ENR"","""",""14=U_MSENR"",""S7138270"",""14=U_MSPCN"",""A8AA53F5"",""14=ADDRESS2"",""SINGAPORE HEALTH SERVICES _x000D_168 JALAN BUKIT MERAH _x000D_SURBANA ONE, #16-01 _x000D_SINGAPORE 150168_x000D_ATTN: LUCAS CHEW TECK HUA_x000D_TEL: 8"&amp;"1210785_x000D_EMAIL: YEE.WEI.HENG@SINHEALTH.COM.SG"""</t>
  </si>
  <si>
    <t>=MONTH(N31)</t>
  </si>
  <si>
    <t>=YEAR(N31)</t>
  </si>
  <si>
    <t>=IFERROR(NF($E31,"DOCNUM"),"-")</t>
  </si>
  <si>
    <t>=IFERROR(NF($E31,"DOCDATE"),"-")</t>
  </si>
  <si>
    <t>=IFERROR(NF($E31,"U_MSENR"),"-")</t>
  </si>
  <si>
    <t>=IFERROR(NF($E31,"U_MSPCN"),"-")</t>
  </si>
  <si>
    <t>=IFERROR(NF($E31,"CARDCODE"),"-")</t>
  </si>
  <si>
    <t>=IFERROR(NF($E31,"CARDNAME"),"-")</t>
  </si>
  <si>
    <t>=IFERROR(NF($E31,"U_CUSTREF"),"-")</t>
  </si>
  <si>
    <t>=IFERROR(NF($E31,"U_PONO"),"-")</t>
  </si>
  <si>
    <t>=IFERROR(NF($E31,"U_PODate"),"-")</t>
  </si>
  <si>
    <t>=IFERROR(NF($E31,"DOCdate"),"-")</t>
  </si>
  <si>
    <t>=SUM(N31-V31)</t>
  </si>
  <si>
    <t>=IFERROR(NF($E31,"ITEMCODE"),"-")</t>
  </si>
  <si>
    <t>=IFERROR(NF($E31,"ITEMNAME"),"-")</t>
  </si>
  <si>
    <t>=IFERROR(NF($E31,"MEMO"),"-")</t>
  </si>
  <si>
    <t>=IFERROR(NF($E31,"QUANTITY"),"-")</t>
  </si>
  <si>
    <t>=IFERROR(AD31/AB31,0)</t>
  </si>
  <si>
    <t>=IFERROR(NF($E31,"LINETOTAL"),"-")</t>
  </si>
  <si>
    <t>=IFERROR(NF($E31,"U_BPurDisc"),"-")</t>
  </si>
  <si>
    <t>=IFERROR(NF($E31,"ADDRESS2"),"-")</t>
  </si>
  <si>
    <t>=IFERROR(NF($E31,"ItemCode"),"-")</t>
  </si>
  <si>
    <t>=IFERROR(NF($E31,"ItemName"),"-")</t>
  </si>
  <si>
    <t>=IFERROR(NF($E31,"U_SWSub"),"-")</t>
  </si>
  <si>
    <t>=IFERROR(NF($E31,"U_LicComDt"),"-")</t>
  </si>
  <si>
    <t>=IFERROR(NF($E31,"U_LicEndDt"),"-")</t>
  </si>
  <si>
    <t>=IFERROR(NF($E31,"Comments"),"-")</t>
  </si>
  <si>
    <t>=IF(K32="","Hide","Show")</t>
  </si>
  <si>
    <t>="""UICACS"","""",""SQL="",""2=DOCNUM"",""33030401"",""14=CUSTREF"",""9410244397"",""14=U_CUSTREF"",""9410244397"",""15=DOCDATE"",""14/12/2022"",""15=TAXDATE"",""14/12/2022"",""14=CARDCODE"",""CI1077-SGD"",""14=CARDNAME"",""KK WOMEN'S AND CHILDREN'S HOSPITAL"",""14=ITEMCODE"",""MS7NQ-00300GLP"""&amp;",""14=ITEMNAME"",""MS SQLSVRSTDCORE SNGL LICSAPK MVL 2LIC CORELIC"",""10=QUANTITY"",""2.000000"",""14=U_PONO"",""940655"",""15=U_PODATE"",""14/12/2022"",""10=U_TLINTCOS"",""0.000000"",""2=SLPCODE"",""132"",""14=SLPNAME"",""E0001-CS"",""14=MEMO"",""WENDY KUM CHIOU SZE"",""14=CONTACTNAME"","&amp;"""FINANCE DEPARTMENT"",""10=LINETOTAL"",""11733.640000"",""14=U_ENR"","""",""14=U_MSENR"",""S7138270"",""14=U_MSPCN"",""B1EFBA40"",""14=ADDRESS2"",""NAZIMA_x000D_KK WOMEN'S AND CHILDREN'S HOSPITAL CT L2 CLINIC T  SINGAPORE 229899_x000D_NAZIMA_x000D_TEL: 63942133_x000D_FAX: _x000D_EMAIL: Nazima.Hamed@kkh.c"&amp;"om.sg"""</t>
  </si>
  <si>
    <t>=MONTH(N32)</t>
  </si>
  <si>
    <t>=YEAR(N32)</t>
  </si>
  <si>
    <t>=IFERROR(NF($E32,"DOCNUM"),"-")</t>
  </si>
  <si>
    <t>=IFERROR(NF($E32,"DOCDATE"),"-")</t>
  </si>
  <si>
    <t>=IFERROR(NF($E32,"U_MSENR"),"-")</t>
  </si>
  <si>
    <t>=IFERROR(NF($E32,"U_MSPCN"),"-")</t>
  </si>
  <si>
    <t>=IFERROR(NF($E32,"CARDCODE"),"-")</t>
  </si>
  <si>
    <t>=IFERROR(NF($E32,"CARDNAME"),"-")</t>
  </si>
  <si>
    <t>=IFERROR(NF($E32,"U_CUSTREF"),"-")</t>
  </si>
  <si>
    <t>=IFERROR(NF($E32,"U_PONO"),"-")</t>
  </si>
  <si>
    <t>=IFERROR(NF($E32,"U_PODate"),"-")</t>
  </si>
  <si>
    <t>=IFERROR(NF($E32,"DOCdate"),"-")</t>
  </si>
  <si>
    <t>=SUM(N32-V32)</t>
  </si>
  <si>
    <t>=IFERROR(NF($E32,"ITEMCODE"),"-")</t>
  </si>
  <si>
    <t>=IFERROR(NF($E32,"ITEMNAME"),"-")</t>
  </si>
  <si>
    <t>=IFERROR(NF($E32,"MEMO"),"-")</t>
  </si>
  <si>
    <t>=IFERROR(NF($E32,"QUANTITY"),"-")</t>
  </si>
  <si>
    <t>=IFERROR(AD32/AB32,0)</t>
  </si>
  <si>
    <t>=IFERROR(NF($E32,"LINETOTAL"),"-")</t>
  </si>
  <si>
    <t>=IFERROR(NF($E32,"U_BPurDisc"),"-")</t>
  </si>
  <si>
    <t>=IFERROR(NF($E32,"ADDRESS2"),"-")</t>
  </si>
  <si>
    <t>=IFERROR(NF($E32,"ItemCode"),"-")</t>
  </si>
  <si>
    <t>=IFERROR(NF($E32,"ItemName"),"-")</t>
  </si>
  <si>
    <t>=IFERROR(NF($E32,"U_SWSub"),"-")</t>
  </si>
  <si>
    <t>=IFERROR(NF($E32,"U_LicComDt"),"-")</t>
  </si>
  <si>
    <t>=IFERROR(NF($E32,"U_LicEndDt"),"-")</t>
  </si>
  <si>
    <t>=IFERROR(NF($E32,"Comments"),"-")</t>
  </si>
  <si>
    <t>=IF(K33="","Hide","Show")</t>
  </si>
  <si>
    <t>="""UICACS"","""",""SQL="",""2=DOCNUM"",""33030402"",""14=CUSTREF"",""6722001319"",""14=U_CUSTREF"",""6722001319"",""15=DOCDATE"",""14/12/2022"",""15=TAXDATE"",""14/12/2022"",""14=CARDCODE"",""CI1256-SGD"",""14=CARDNAME"",""SINGAPORE HEALTH SERVICES PTE LTD"",""14=ITEMCODE"",""MS7JQ-00353GLP"","&amp;"""14=ITEMNAME"",""MS SQLSVRENTCORE SNGL LICSAPK MVL 2LIC CORELIC"",""10=QUANTITY"",""2.000000"",""14=U_PONO"",""940654"",""15=U_PODATE"",""14/12/2022"",""10=U_TLINTCOS"",""0.000000"",""2=SLPCODE"",""132"",""14=SLPNAME"",""E0001-CS"",""14=MEMO"",""WENDY KUM CHIOU SZE"",""14=CONTACTNAME"","""&amp;"FINANCE DEPARTMENT"",""10=LINETOTAL"",""45138.820000"",""14=U_ENR"","""",""14=U_MSENR"",""S7138270"",""14=U_MSPCN"",""A8AA53F5"",""14=ADDRESS2"",""SAW ZAR LI_x000D_SINGAPORE HEALTH SERVICES PTE LTD 168 JALAN BULIT MERAH SURBANA ONE #16-01 SINGAPORE 150168_x000D_SAW ZAR LI_x000D_TEL: 66317398_x000D_"&amp;"FAX: 6326 5023_x000D_EMAIL: saw.zar.li@ihis.com.sg"""</t>
  </si>
  <si>
    <t>=MONTH(N33)</t>
  </si>
  <si>
    <t>=YEAR(N33)</t>
  </si>
  <si>
    <t>=IFERROR(NF($E33,"DOCNUM"),"-")</t>
  </si>
  <si>
    <t>=IFERROR(NF($E33,"DOCDATE"),"-")</t>
  </si>
  <si>
    <t>=IFERROR(NF($E33,"U_MSENR"),"-")</t>
  </si>
  <si>
    <t>=IFERROR(NF($E33,"U_MSPCN"),"-")</t>
  </si>
  <si>
    <t>=IFERROR(NF($E33,"CARDCODE"),"-")</t>
  </si>
  <si>
    <t>=IFERROR(NF($E33,"CARDNAME"),"-")</t>
  </si>
  <si>
    <t>=IFERROR(NF($E33,"U_CUSTREF"),"-")</t>
  </si>
  <si>
    <t>=IFERROR(NF($E33,"U_PONO"),"-")</t>
  </si>
  <si>
    <t>=IFERROR(NF($E33,"U_PODate"),"-")</t>
  </si>
  <si>
    <t>=IFERROR(NF($E33,"DOCdate"),"-")</t>
  </si>
  <si>
    <t>=SUM(N33-V33)</t>
  </si>
  <si>
    <t>=IFERROR(NF($E33,"ITEMCODE"),"-")</t>
  </si>
  <si>
    <t>=IFERROR(NF($E33,"ITEMNAME"),"-")</t>
  </si>
  <si>
    <t>=IFERROR(NF($E33,"MEMO"),"-")</t>
  </si>
  <si>
    <t>=IFERROR(NF($E33,"QUANTITY"),"-")</t>
  </si>
  <si>
    <t>=IFERROR(AD33/AB33,0)</t>
  </si>
  <si>
    <t>=IFERROR(NF($E33,"LINETOTAL"),"-")</t>
  </si>
  <si>
    <t>=IFERROR(NF($E33,"U_BPurDisc"),"-")</t>
  </si>
  <si>
    <t>=IFERROR(NF($E33,"ADDRESS2"),"-")</t>
  </si>
  <si>
    <t>=IFERROR(NF($E33,"ItemCode"),"-")</t>
  </si>
  <si>
    <t>=IFERROR(NF($E33,"ItemName"),"-")</t>
  </si>
  <si>
    <t>=IFERROR(NF($E33,"U_SWSub"),"-")</t>
  </si>
  <si>
    <t>=IFERROR(NF($E33,"U_LicComDt"),"-")</t>
  </si>
  <si>
    <t>=IFERROR(NF($E33,"U_LicEndDt"),"-")</t>
  </si>
  <si>
    <t>=IFERROR(NF($E33,"Comments"),"-")</t>
  </si>
  <si>
    <t>=IF(K34="","Hide","Show")</t>
  </si>
  <si>
    <t>="""UICACS"","""",""SQL="",""2=DOCNUM"",""33030402"",""14=CUSTREF"",""6722001319"",""14=U_CUSTREF"",""6722001319"",""15=DOCDATE"",""14/12/2022"",""15=TAXDATE"",""14/12/2022"",""14=CARDCODE"",""CI1256-SGD"",""14=CARDNAME"",""SINGAPORE HEALTH SERVICES PTE LTD"",""14=ITEMCODE"",""MS6VC-04397GLP"","&amp;"""14=ITEMNAME"",""MS WIN REMOTE DESKTOP SERVICES CAL 2022 SNGL UCAL"",""10=QUANTITY"",""2.000000"",""14=U_PONO"",""940654"",""15=U_PODATE"",""14/12/2022"",""10=U_TLINTCOS"",""0.000000"",""2=SLPCODE"",""132"",""14=SLPNAME"",""E0001-CS"",""14=MEMO"",""WENDY KUM CHIOU SZE"",""14=CONTACTNAME"&amp;""",""FINANCE DEPARTMENT"",""10=LINETOTAL"",""278.160000"",""14=U_ENR"","""",""14=U_MSENR"",""S7138270"",""14=U_MSPCN"",""A8AA53F5"",""14=ADDRESS2"",""SAW ZAR LI_x000D_SINGAPORE HEALTH SERVICES PTE LTD 168 JALAN BULIT MERAH SURBANA ONE #16-01 SINGAPORE 150168_x000D_SAW ZAR LI_x000D_TEL: 66317398"&amp;"_x000D_FAX: 6326 5023_x000D_EMAIL: saw.zar.li@ihis.com.sg"""</t>
  </si>
  <si>
    <t>=MONTH(N34)</t>
  </si>
  <si>
    <t>=YEAR(N34)</t>
  </si>
  <si>
    <t>=IFERROR(NF($E34,"DOCNUM"),"-")</t>
  </si>
  <si>
    <t>=IFERROR(NF($E34,"DOCDATE"),"-")</t>
  </si>
  <si>
    <t>=IFERROR(NF($E34,"U_MSENR"),"-")</t>
  </si>
  <si>
    <t>=IFERROR(NF($E34,"U_MSPCN"),"-")</t>
  </si>
  <si>
    <t>=IFERROR(NF($E34,"CARDCODE"),"-")</t>
  </si>
  <si>
    <t>=IFERROR(NF($E34,"CARDNAME"),"-")</t>
  </si>
  <si>
    <t>=IFERROR(NF($E34,"U_CUSTREF"),"-")</t>
  </si>
  <si>
    <t>=IFERROR(NF($E34,"U_PONO"),"-")</t>
  </si>
  <si>
    <t>=IFERROR(NF($E34,"U_PODate"),"-")</t>
  </si>
  <si>
    <t>=IFERROR(NF($E34,"DOCdate"),"-")</t>
  </si>
  <si>
    <t>=SUM(N34-V34)</t>
  </si>
  <si>
    <t>=IFERROR(NF($E34,"ITEMCODE"),"-")</t>
  </si>
  <si>
    <t>=IFERROR(NF($E34,"ITEMNAME"),"-")</t>
  </si>
  <si>
    <t>=IFERROR(NF($E34,"MEMO"),"-")</t>
  </si>
  <si>
    <t>=IFERROR(NF($E34,"QUANTITY"),"-")</t>
  </si>
  <si>
    <t>=IFERROR(AD34/AB34,0)</t>
  </si>
  <si>
    <t>=IFERROR(NF($E34,"LINETOTAL"),"-")</t>
  </si>
  <si>
    <t>=IFERROR(NF($E34,"U_BPurDisc"),"-")</t>
  </si>
  <si>
    <t>=IFERROR(NF($E34,"ADDRESS2"),"-")</t>
  </si>
  <si>
    <t>=IFERROR(NF($E34,"ItemCode"),"-")</t>
  </si>
  <si>
    <t>=IFERROR(NF($E34,"ItemName"),"-")</t>
  </si>
  <si>
    <t>=IFERROR(NF($E34,"U_SWSub"),"-")</t>
  </si>
  <si>
    <t>=IFERROR(NF($E34,"U_LicComDt"),"-")</t>
  </si>
  <si>
    <t>=IFERROR(NF($E34,"U_LicEndDt"),"-")</t>
  </si>
  <si>
    <t>=IFERROR(NF($E34,"Comments"),"-")</t>
  </si>
  <si>
    <t>=IF(K35="","Hide","Show")</t>
  </si>
  <si>
    <t>="""UICACS"","""",""SQL="",""2=DOCNUM"",""33030439"",""14=CUSTREF"",""4203164108"",""14=U_CUSTREF"",""4203164108"",""15=DOCDATE"",""19/12/2022"",""15=TAXDATE"",""19/12/2022"",""14=CARDCODE"",""CI1261-SGD"",""14=CARDNAME"",""CHANGI GENERAL HOSPITAL PTE LTD"",""14=ITEMCODE"",""MS7NQ-00300GLP"",""1"&amp;"4=ITEMNAME"",""MS SQLSVRSTDCORE SNGL LICSAPK MVL 2LIC CORELIC"",""10=QUANTITY"",""2.000000"",""14=U_PONO"",""940745"",""15=U_PODATE"",""15/12/2022"",""10=U_TLINTCOS"",""0.000000"",""2=SLPCODE"",""132"",""14=SLPNAME"",""E0001-CS"",""14=MEMO"",""WENDY KUM CHIOU SZE"",""14=CONTACTNAME"",""E-"&amp;"INVOICE"",""10=LINETOTAL"",""11596.300000"",""14=U_ENR"","""",""14=U_MSENR"",""S7138270"",""14=U_MSPCN"",""83288253"",""14=ADDRESS2"",""JANET CHUA_x000D_CHANGI GENERAL HOSPITAL PTE LTD 2 SIMEI STREET  3  SINGAPORE 529889_x000D_JANET CHUA_x000D_TEL: 97651519_x000D_FAX: _x000D_EMAIL: chua.janet@ihis.com.sg"&amp;""""</t>
  </si>
  <si>
    <t>=MONTH(N35)</t>
  </si>
  <si>
    <t>=YEAR(N35)</t>
  </si>
  <si>
    <t>=IFERROR(NF($E35,"DOCNUM"),"-")</t>
  </si>
  <si>
    <t>=IFERROR(NF($E35,"DOCDATE"),"-")</t>
  </si>
  <si>
    <t>=IFERROR(NF($E35,"U_MSENR"),"-")</t>
  </si>
  <si>
    <t>=IFERROR(NF($E35,"U_MSPCN"),"-")</t>
  </si>
  <si>
    <t>=IFERROR(NF($E35,"CARDCODE"),"-")</t>
  </si>
  <si>
    <t>=IFERROR(NF($E35,"CARDNAME"),"-")</t>
  </si>
  <si>
    <t>=IFERROR(NF($E35,"U_CUSTREF"),"-")</t>
  </si>
  <si>
    <t>=IFERROR(NF($E35,"U_PONO"),"-")</t>
  </si>
  <si>
    <t>=IFERROR(NF($E35,"U_PODate"),"-")</t>
  </si>
  <si>
    <t>=IFERROR(NF($E35,"DOCdate"),"-")</t>
  </si>
  <si>
    <t>=SUM(N35-V35)</t>
  </si>
  <si>
    <t>=IFERROR(NF($E35,"ITEMCODE"),"-")</t>
  </si>
  <si>
    <t>=IFERROR(NF($E35,"ITEMNAME"),"-")</t>
  </si>
  <si>
    <t>=IFERROR(NF($E35,"MEMO"),"-")</t>
  </si>
  <si>
    <t>=IFERROR(NF($E35,"QUANTITY"),"-")</t>
  </si>
  <si>
    <t>=IFERROR(AD35/AB35,0)</t>
  </si>
  <si>
    <t>=IFERROR(NF($E35,"LINETOTAL"),"-")</t>
  </si>
  <si>
    <t>=IFERROR(NF($E35,"U_BPurDisc"),"-")</t>
  </si>
  <si>
    <t>=IFERROR(NF($E35,"ADDRESS2"),"-")</t>
  </si>
  <si>
    <t>=IFERROR(NF($E35,"ItemCode"),"-")</t>
  </si>
  <si>
    <t>=IFERROR(NF($E35,"ItemName"),"-")</t>
  </si>
  <si>
    <t>=IFERROR(NF($E35,"U_SWSub"),"-")</t>
  </si>
  <si>
    <t>=IFERROR(NF($E35,"U_LicComDt"),"-")</t>
  </si>
  <si>
    <t>=IFERROR(NF($E35,"U_LicEndDt"),"-")</t>
  </si>
  <si>
    <t>=IFERROR(NF($E35,"Comments"),"-")</t>
  </si>
  <si>
    <t>=IF(K36="","Hide","Show")</t>
  </si>
  <si>
    <t>=IFERROR(NF($E36,"DOCNUM"),"-")</t>
  </si>
  <si>
    <t>=IFERROR(NF($E36,"DOCDATE"),"-")</t>
  </si>
  <si>
    <t>=IFERROR(NF($E36,"U_MSENR"),"-")</t>
  </si>
  <si>
    <t>=IFERROR(NF($E36,"CARDCODE"),"-")</t>
  </si>
  <si>
    <t>=IFERROR(NF($E36,"CARDNAME"),"-")</t>
  </si>
  <si>
    <t>=IFERROR(NF($E36,"ITEMCODE"),"-")</t>
  </si>
  <si>
    <t>=IFERROR(NF($E36,"U_CUSTREF"),"-")</t>
  </si>
  <si>
    <t>=IFERROR(NF($E36,"ITEMNAME"),"-")</t>
  </si>
  <si>
    <t>=IFERROR(NF($E36,"MEMO"),"-")</t>
  </si>
  <si>
    <t>=IFERROR(NF($E36,"QUANTITY"),"-")</t>
  </si>
  <si>
    <t>=IFERROR(NF($E36,"CONTACTNAME"),"-")</t>
  </si>
  <si>
    <t>=IFERROR(NF($E36,"ADDRESS2"),"-")</t>
  </si>
  <si>
    <t>=IFERROR(NF($E36,"U_PODATE"),"-")</t>
  </si>
  <si>
    <t>=IFERROR(NF($E36,"U_PONO"),"-")</t>
  </si>
  <si>
    <t>=IFERROR(AC36/W36,0)</t>
  </si>
  <si>
    <t>=IFERROR(NF($E36,"LINETOTAL"),"-")</t>
  </si>
  <si>
    <t>=IF(K37="","Hide","Show")</t>
  </si>
  <si>
    <t>=IFERROR(NF($E37,"DOCNUM"),"-")</t>
  </si>
  <si>
    <t>=IFERROR(NF($E37,"DOCDATE"),"-")</t>
  </si>
  <si>
    <t>=IFERROR(NF($E37,"U_MSENR"),"-")</t>
  </si>
  <si>
    <t>=IFERROR(NF($E37,"CARDCODE"),"-")</t>
  </si>
  <si>
    <t>=IFERROR(NF($E37,"CARDNAME"),"-")</t>
  </si>
  <si>
    <t>=IFERROR(NF($E37,"ITEMCODE"),"-")</t>
  </si>
  <si>
    <t>=IFERROR(NF($E37,"U_CUSTREF"),"-")</t>
  </si>
  <si>
    <t>=IFERROR(NF($E37,"ITEMNAME"),"-")</t>
  </si>
  <si>
    <t>=IFERROR(NF($E37,"MEMO"),"-")</t>
  </si>
  <si>
    <t>=IFERROR(NF($E37,"QUANTITY"),"-")</t>
  </si>
  <si>
    <t>=IFERROR(NF($E37,"CONTACTNAME"),"-")</t>
  </si>
  <si>
    <t>=IFERROR(NF($E37,"ADDRESS2"),"-")</t>
  </si>
  <si>
    <t>=IFERROR(NF($E37,"U_PODATE"),"-")</t>
  </si>
  <si>
    <t>=IFERROR(NF($E37,"U_PONO"),"-")</t>
  </si>
  <si>
    <t>=IFERROR(AC37/W37,0)</t>
  </si>
  <si>
    <t>=IFERROR(NF($E37,"LINETOTAL"),"-")</t>
  </si>
  <si>
    <t>=SUBTOTAL(9,AB24:AB38)</t>
  </si>
  <si>
    <t>=SUBTOTAL(9,AC24:AC38)</t>
  </si>
  <si>
    <t>S7138270</t>
  </si>
  <si>
    <t>B29CE2A2</t>
  </si>
  <si>
    <t xml:space="preserve">Pepertual </t>
  </si>
  <si>
    <t>SA RENEWAL</t>
  </si>
  <si>
    <t>01.01.2025</t>
  </si>
  <si>
    <t>31.12.2027</t>
  </si>
  <si>
    <t>PO ISSUED ON 5/11/2024 BUT USAGE ONLY IN EARLY DEC 2024</t>
  </si>
  <si>
    <t>PO ISSUED ON 5/11/2024 BUT USAGE ONLY IN EARLY DEC 2025</t>
  </si>
  <si>
    <t>PO ISSUED ON 5/11/2024 BUT USAGE ONLY IN EARLY DEC 2026</t>
  </si>
  <si>
    <t>NIL</t>
  </si>
  <si>
    <t>ST. ANDREW'S NURSING HOME (HENDERSON) 303 HENDERSON ROAD, SINGAPORE 108925 TEL: 6761 8515 ext 4 EMAIL: itd_infra@sach.org.sg</t>
  </si>
  <si>
    <t>ST. ANDREW'S NURSING HOME (ALJUNIED) 5 ALJUNIED WALK  SINGAPORE 389954 – Attn: KEVIN HAN - TEL: 66586 8117 EMAIL: kevin_han@sach.org.sg</t>
  </si>
  <si>
    <t>ST. ANDREW'S NURSING HOME (TAMAN JURONG) 2 YUNG HO WALK  SINGAPORE 618274. Attn: MUHAMMAD SHUKRI BIN SABARUDDIN SANH -EMAIL: muhammad_shukri@sanh.org.sg</t>
  </si>
  <si>
    <t>ST ANDREW'S NURSING HOME 60 BUANGKOK VIEW  SINGAPORE 534012 -Attn: ZAY MIN -TEL: 68800381 / 68805330 - EMAIL: zaymin_nyi@sanh.org.sg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</si>
</sst>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sz val="11"/>
      <color theme="1"/>
      <name val="Calibri"/>
      <family val="2"/>
      <scheme val="minor"/>
    </font>
    <font>
      <b/>
      <sz val="12"/>
      <name val="Aharoni"/>
      <charset val="177"/>
    </font>
    <font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62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0" fontId="4" fillId="0" borderId="0" xfId="1" applyFont="1" applyAlignment="1">
      <alignment horizontal="left" vertical="top"/>
    </xf>
    <xf numFmtId="0" fontId="0" fillId="5" borderId="0" xfId="0" applyFill="1" applyAlignment="1">
      <alignment vertical="top"/>
    </xf>
    <xf numFmtId="0" fontId="0" fillId="5" borderId="0" xfId="0" applyFill="1" applyAlignment="1">
      <alignment vertical="top" wrapText="1"/>
    </xf>
    <xf numFmtId="0" fontId="0" fillId="5" borderId="0" xfId="0" applyFill="1" applyAlignment="1">
      <alignment horizontal="left" vertical="top"/>
    </xf>
    <xf numFmtId="0" fontId="6" fillId="6" borderId="0" xfId="0" applyFont="1" applyFill="1" applyAlignment="1">
      <alignment vertical="top"/>
    </xf>
    <xf numFmtId="0" fontId="9" fillId="0" borderId="0" xfId="0" applyFont="1"/>
    <xf numFmtId="0" fontId="0" fillId="0" borderId="0" xfId="0" quotePrefix="1"/>
    <xf numFmtId="0" fontId="8" fillId="0" borderId="1" xfId="0" applyFont="1" applyBorder="1" applyAlignment="1">
      <alignment horizontal="left" vertical="top"/>
    </xf>
    <xf numFmtId="0" fontId="7" fillId="3" borderId="1" xfId="0" applyFont="1" applyFill="1" applyBorder="1" applyAlignment="1">
      <alignment horizontal="left" vertical="center"/>
    </xf>
    <xf numFmtId="165" fontId="7" fillId="3" borderId="1" xfId="2" applyNumberFormat="1" applyFont="1" applyFill="1" applyBorder="1" applyAlignment="1">
      <alignment horizontal="left" vertical="center"/>
    </xf>
    <xf numFmtId="165" fontId="7" fillId="3" borderId="1" xfId="2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top"/>
    </xf>
    <xf numFmtId="164" fontId="7" fillId="3" borderId="1" xfId="2" applyFont="1" applyFill="1" applyBorder="1" applyAlignment="1">
      <alignment horizontal="left" vertical="center"/>
    </xf>
    <xf numFmtId="167" fontId="0" fillId="2" borderId="0" xfId="0" applyNumberFormat="1" applyFill="1" applyAlignment="1">
      <alignment horizontal="left" vertical="top"/>
    </xf>
    <xf numFmtId="164" fontId="0" fillId="2" borderId="0" xfId="2" applyFont="1" applyFill="1" applyAlignment="1">
      <alignment horizontal="left" vertical="top"/>
    </xf>
    <xf numFmtId="167" fontId="0" fillId="0" borderId="0" xfId="0" applyNumberFormat="1" applyAlignment="1">
      <alignment horizontal="left" vertical="top"/>
    </xf>
    <xf numFmtId="1" fontId="0" fillId="0" borderId="0" xfId="0" applyNumberFormat="1" applyAlignment="1">
      <alignment horizontal="left" vertical="top"/>
    </xf>
    <xf numFmtId="165" fontId="0" fillId="0" borderId="0" xfId="2" applyNumberFormat="1" applyFont="1" applyAlignment="1">
      <alignment horizontal="left" vertical="top"/>
    </xf>
    <xf numFmtId="164" fontId="0" fillId="0" borderId="0" xfId="2" applyFont="1" applyAlignment="1">
      <alignment horizontal="left" vertical="top"/>
    </xf>
    <xf numFmtId="0" fontId="2" fillId="0" borderId="0" xfId="1" applyFont="1" applyAlignment="1">
      <alignment horizontal="left" vertical="top"/>
    </xf>
    <xf numFmtId="14" fontId="0" fillId="0" borderId="0" xfId="0" applyNumberFormat="1" applyAlignment="1">
      <alignment horizontal="left" vertical="top"/>
    </xf>
    <xf numFmtId="167" fontId="0" fillId="5" borderId="0" xfId="0" applyNumberFormat="1" applyFill="1" applyAlignment="1">
      <alignment horizontal="left" vertical="top"/>
    </xf>
    <xf numFmtId="1" fontId="0" fillId="5" borderId="0" xfId="0" applyNumberFormat="1" applyFill="1" applyAlignment="1">
      <alignment horizontal="left" vertical="top"/>
    </xf>
    <xf numFmtId="165" fontId="0" fillId="5" borderId="0" xfId="2" applyNumberFormat="1" applyFont="1" applyFill="1" applyAlignment="1">
      <alignment horizontal="left" vertical="top"/>
    </xf>
    <xf numFmtId="164" fontId="0" fillId="5" borderId="0" xfId="2" applyFont="1" applyFill="1" applyAlignment="1">
      <alignment horizontal="left" vertical="top"/>
    </xf>
    <xf numFmtId="167" fontId="7" fillId="3" borderId="1" xfId="0" applyNumberFormat="1" applyFont="1" applyFill="1" applyBorder="1" applyAlignment="1">
      <alignment horizontal="left" vertical="center"/>
    </xf>
    <xf numFmtId="14" fontId="7" fillId="3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40" fontId="7" fillId="3" borderId="1" xfId="0" applyNumberFormat="1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166" fontId="10" fillId="0" borderId="1" xfId="0" applyNumberFormat="1" applyFont="1" applyBorder="1" applyAlignment="1">
      <alignment horizontal="left"/>
    </xf>
    <xf numFmtId="164" fontId="0" fillId="0" borderId="1" xfId="2" applyFont="1" applyBorder="1" applyAlignment="1">
      <alignment horizontal="left" vertical="top"/>
    </xf>
    <xf numFmtId="164" fontId="10" fillId="0" borderId="1" xfId="2" applyFont="1" applyBorder="1" applyAlignment="1">
      <alignment horizontal="left"/>
    </xf>
    <xf numFmtId="166" fontId="0" fillId="0" borderId="1" xfId="0" applyNumberFormat="1" applyBorder="1" applyAlignment="1">
      <alignment horizontal="left" vertical="top"/>
    </xf>
    <xf numFmtId="40" fontId="0" fillId="0" borderId="1" xfId="2" applyNumberFormat="1" applyFont="1" applyBorder="1" applyAlignment="1">
      <alignment horizontal="left" vertical="top"/>
    </xf>
    <xf numFmtId="0" fontId="3" fillId="2" borderId="0" xfId="0" applyFont="1" applyFill="1" applyAlignment="1">
      <alignment vertical="top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top"/>
    </xf>
    <xf numFmtId="166" fontId="3" fillId="0" borderId="1" xfId="0" applyNumberFormat="1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1" fontId="3" fillId="0" borderId="1" xfId="0" applyNumberFormat="1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164" fontId="3" fillId="0" borderId="1" xfId="2" applyFont="1" applyBorder="1" applyAlignment="1">
      <alignment horizontal="left" vertical="top"/>
    </xf>
    <xf numFmtId="164" fontId="11" fillId="0" borderId="1" xfId="2" applyFont="1" applyBorder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40" fontId="3" fillId="0" borderId="1" xfId="2" applyNumberFormat="1" applyFont="1" applyBorder="1" applyAlignment="1">
      <alignment horizontal="left" vertical="top"/>
    </xf>
    <xf numFmtId="14" fontId="3" fillId="0" borderId="0" xfId="0" applyNumberFormat="1" applyFont="1" applyAlignment="1">
      <alignment vertical="top"/>
    </xf>
    <xf numFmtId="0" fontId="13" fillId="0" borderId="1" xfId="0" applyFont="1" applyBorder="1" applyAlignment="1">
      <alignment vertical="center"/>
    </xf>
    <xf numFmtId="0" fontId="4" fillId="0" borderId="0" xfId="1" applyFont="1" applyAlignment="1">
      <alignment horizontal="left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opLeftCell="B2" zoomScale="106" zoomScaleNormal="106" workbookViewId="0">
      <selection activeCell="D14" sqref="D14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5" s="1" customFormat="1" hidden="1">
      <c r="A1" s="1" t="s">
        <v>167</v>
      </c>
      <c r="B1" s="1" t="s">
        <v>1</v>
      </c>
      <c r="C1" s="2" t="s">
        <v>2</v>
      </c>
      <c r="D1" s="1" t="s">
        <v>3</v>
      </c>
    </row>
    <row r="2" spans="1:5">
      <c r="B2" s="4" t="s">
        <v>18</v>
      </c>
      <c r="C2" s="4" t="s">
        <v>4</v>
      </c>
    </row>
    <row r="3" spans="1:5">
      <c r="A3" s="1" t="s">
        <v>0</v>
      </c>
      <c r="B3" s="4" t="s">
        <v>5</v>
      </c>
      <c r="C3" s="5" t="str">
        <f>"01/12/2022"</f>
        <v>01/12/2022</v>
      </c>
    </row>
    <row r="4" spans="1:5">
      <c r="A4" s="1" t="s">
        <v>0</v>
      </c>
      <c r="B4" s="4" t="s">
        <v>6</v>
      </c>
      <c r="C4" s="5" t="str">
        <f>"30/12/2022"</f>
        <v>30/12/2022</v>
      </c>
    </row>
    <row r="5" spans="1:5">
      <c r="A5" s="1" t="s">
        <v>0</v>
      </c>
      <c r="B5" s="4" t="s">
        <v>25</v>
      </c>
      <c r="C5" s="4" t="str">
        <f>"*"</f>
        <v>*</v>
      </c>
      <c r="D5" s="4" t="str">
        <f>"Lookup"</f>
        <v>Lookup</v>
      </c>
      <c r="E5" s="4" t="s">
        <v>51</v>
      </c>
    </row>
    <row r="8" spans="1:5">
      <c r="A8" s="1" t="s">
        <v>8</v>
      </c>
      <c r="C8" s="3" t="str">
        <f>TEXT($C$3,"dd/MMM/yyyy") &amp; ".." &amp; TEXT($C$4,"dd/MMM/yyyy")</f>
        <v>01/Dec/2022..30/Dec/2022</v>
      </c>
    </row>
    <row r="9" spans="1:5">
      <c r="A9" s="1" t="s">
        <v>9</v>
      </c>
      <c r="C9" s="3" t="str">
        <f>TEXT($C$3,"yyyyMMdd") &amp; ".." &amp; TEXT($C$4,"yyyyMMdd")</f>
        <v>20221201..20221230</v>
      </c>
    </row>
    <row r="10" spans="1:5">
      <c r="B10" s="4" t="s">
        <v>37</v>
      </c>
      <c r="C10" s="6" t="str">
        <f>"'S7138270','7138270' "</f>
        <v xml:space="preserve">'S7138270','7138270' </v>
      </c>
    </row>
    <row r="11" spans="1:5">
      <c r="B11" s="4" t="s">
        <v>35</v>
      </c>
      <c r="C11" s="6" t="str">
        <f>"'S7138270','7138270' "</f>
        <v xml:space="preserve">'S7138270','7138270' </v>
      </c>
    </row>
    <row r="12" spans="1:5">
      <c r="B12" s="4" t="s">
        <v>38</v>
      </c>
      <c r="C12" s="6" t="str">
        <f>"'MS'"</f>
        <v>'MS'</v>
      </c>
    </row>
    <row r="13" spans="1:5">
      <c r="B13" s="4" t="s">
        <v>39</v>
      </c>
      <c r="C13" s="4" t="str">
        <f>$D$13&amp;$D$14</f>
        <v>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</v>
      </c>
      <c r="D13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14" spans="1:5">
      <c r="D14" s="4" t="str">
        <f>"'CS0085-SGD','CI1238-SGD','CI1190-SGD','CS0086-SGD','CS0507-SGD','CS0507-SGD','CI1261-SGD','CS0085-SGD','CC0128-SGD','CS0222-SGD','CS0226-SGD','CS0653-SGD','CI1277-SGD','CB0059-SGD''CS0678-SGD','CS0653-SGD','CS0276-SGD','CS0200-SGD'"</f>
        <v>'CS0085-SGD','CI1238-SGD','CI1190-SGD','CS0086-SGD','CS0507-SGD','CS0507-SGD','CI1261-SGD','CS0085-SGD','CC0128-SGD','CS0222-SGD','CS0226-SGD','CS0653-SGD','CI1277-SGD','CB0059-SGD''CS0678-SGD','CS0653-SGD','CS0276-SGD','CS0200-SGD'</v>
      </c>
    </row>
    <row r="15" spans="1:5">
      <c r="D15" s="4" t="s">
        <v>52</v>
      </c>
    </row>
    <row r="28" spans="3:6">
      <c r="C28" s="17" t="s">
        <v>53</v>
      </c>
      <c r="D28" s="17" t="s">
        <v>52</v>
      </c>
    </row>
    <row r="29" spans="3:6">
      <c r="D29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30" spans="3:6">
      <c r="D30" s="4" t="str">
        <f>"'CS0085-SGD','CS0086-SGD','CS0507-SGD','CS0507-SGD','CI1261-SGD','CS0085-SGD','CC0128-SGD','CS0222-SGD','CS0226-SGD','CS0653-SGD','CI1277-SGD'"</f>
        <v>'CS0085-SGD','CS0086-SGD','CS0507-SGD','CS0507-SGD','CI1261-SGD','CS0085-SGD','CC0128-SGD','CS0222-SGD','CS0226-SGD','CS0653-SGD','CI1277-SGD'</v>
      </c>
    </row>
    <row r="32" spans="3:6">
      <c r="F32" s="12"/>
    </row>
    <row r="33" spans="7:7">
      <c r="G33" s="12"/>
    </row>
  </sheetData>
  <pageMargins left="0.7" right="0.7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39"/>
  <sheetViews>
    <sheetView tabSelected="1" topLeftCell="X19" zoomScale="92" zoomScaleNormal="92" workbookViewId="0">
      <selection activeCell="AH24" sqref="AH24:AH29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7.28515625" style="3" bestFit="1" customWidth="1"/>
    <col min="12" max="12" width="5.42578125" style="3" bestFit="1" customWidth="1"/>
    <col min="13" max="13" width="9.7109375" style="28" bestFit="1" customWidth="1"/>
    <col min="14" max="14" width="15.28515625" style="3" customWidth="1"/>
    <col min="15" max="15" width="15.140625" style="3" bestFit="1" customWidth="1"/>
    <col min="16" max="16" width="9.28515625" style="3" bestFit="1" customWidth="1"/>
    <col min="17" max="17" width="7.85546875" style="3" bestFit="1" customWidth="1"/>
    <col min="18" max="18" width="16.42578125" style="3" customWidth="1"/>
    <col min="19" max="19" width="48" style="3" customWidth="1"/>
    <col min="20" max="20" width="24.85546875" style="3" customWidth="1"/>
    <col min="21" max="21" width="14.7109375" style="3" customWidth="1"/>
    <col min="22" max="22" width="14.140625" style="3" customWidth="1"/>
    <col min="23" max="23" width="15" style="29" customWidth="1"/>
    <col min="24" max="24" width="8.5703125" style="3" bestFit="1" customWidth="1"/>
    <col min="25" max="25" width="23" style="3" hidden="1" customWidth="1"/>
    <col min="26" max="26" width="10.7109375" style="3" hidden="1" customWidth="1"/>
    <col min="27" max="27" width="21.85546875" style="3" bestFit="1" customWidth="1"/>
    <col min="28" max="28" width="10.140625" style="30" bestFit="1" customWidth="1"/>
    <col min="29" max="29" width="12.140625" style="31" bestFit="1" customWidth="1"/>
    <col min="30" max="30" width="17.85546875" style="3" customWidth="1"/>
    <col min="31" max="31" width="16.28515625" style="3" customWidth="1"/>
    <col min="32" max="32" width="13" style="3" customWidth="1"/>
    <col min="33" max="33" width="9.28515625" style="3" customWidth="1"/>
    <col min="34" max="34" width="164" style="3" customWidth="1"/>
    <col min="35" max="35" width="0.140625" style="3" customWidth="1"/>
    <col min="36" max="36" width="11.28515625" style="3" customWidth="1"/>
    <col min="37" max="37" width="17.42578125" style="3" customWidth="1"/>
    <col min="38" max="38" width="41.42578125" style="3" customWidth="1"/>
    <col min="39" max="39" width="16.42578125" style="3" customWidth="1"/>
    <col min="40" max="40" width="19" style="3" customWidth="1"/>
    <col min="41" max="42" width="9.28515625" style="3"/>
    <col min="43" max="16384" width="9.28515625" style="4"/>
  </cols>
  <sheetData>
    <row r="1" spans="1:42" s="1" customFormat="1" hidden="1">
      <c r="A1" s="1" t="s">
        <v>169</v>
      </c>
      <c r="B1" s="1" t="s">
        <v>41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0" t="s">
        <v>7</v>
      </c>
      <c r="J1" s="1" t="s">
        <v>48</v>
      </c>
      <c r="K1" s="2" t="s">
        <v>17</v>
      </c>
      <c r="L1" s="2" t="s">
        <v>17</v>
      </c>
      <c r="M1" s="26" t="s">
        <v>17</v>
      </c>
      <c r="N1" s="2" t="s">
        <v>17</v>
      </c>
      <c r="O1" s="2" t="s">
        <v>17</v>
      </c>
      <c r="P1" s="2" t="s">
        <v>17</v>
      </c>
      <c r="Q1" s="2" t="s">
        <v>17</v>
      </c>
      <c r="R1" s="2" t="s">
        <v>17</v>
      </c>
      <c r="S1" s="2" t="s">
        <v>17</v>
      </c>
      <c r="T1" s="2" t="s">
        <v>17</v>
      </c>
      <c r="U1" s="2"/>
      <c r="V1" s="2" t="s">
        <v>17</v>
      </c>
      <c r="W1" s="2" t="s">
        <v>17</v>
      </c>
      <c r="X1" s="2" t="s">
        <v>17</v>
      </c>
      <c r="Y1" s="2" t="s">
        <v>7</v>
      </c>
      <c r="Z1" s="2" t="s">
        <v>7</v>
      </c>
      <c r="AA1" s="2" t="s">
        <v>17</v>
      </c>
      <c r="AB1" s="2" t="s">
        <v>17</v>
      </c>
      <c r="AC1" s="27" t="s">
        <v>17</v>
      </c>
      <c r="AD1" s="2"/>
      <c r="AE1" s="2"/>
      <c r="AF1" s="2"/>
      <c r="AG1" s="2"/>
      <c r="AH1" s="2" t="s">
        <v>7</v>
      </c>
      <c r="AI1" s="2" t="s">
        <v>7</v>
      </c>
      <c r="AJ1" s="2"/>
      <c r="AK1" s="2"/>
      <c r="AL1" s="2"/>
      <c r="AM1" s="2"/>
      <c r="AN1" s="2"/>
      <c r="AO1" s="2"/>
      <c r="AP1" s="2"/>
    </row>
    <row r="2" spans="1:42" hidden="1">
      <c r="A2" s="1" t="s">
        <v>7</v>
      </c>
      <c r="D2" s="4" t="s">
        <v>18</v>
      </c>
      <c r="E2" s="4" t="str">
        <f>Option!$C$2</f>
        <v>UICACS</v>
      </c>
    </row>
    <row r="3" spans="1:42" hidden="1">
      <c r="A3" s="1" t="s">
        <v>7</v>
      </c>
      <c r="D3" s="7" t="s">
        <v>21</v>
      </c>
      <c r="E3" s="7" t="s">
        <v>19</v>
      </c>
      <c r="F3" s="7" t="s">
        <v>20</v>
      </c>
      <c r="G3" s="7" t="s">
        <v>22</v>
      </c>
      <c r="H3" s="7" t="s">
        <v>42</v>
      </c>
      <c r="I3" s="11" t="s">
        <v>23</v>
      </c>
    </row>
    <row r="4" spans="1:42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(U_ENR IN ('S7138270','7138270' )  OR U_MSENR IN ('S7138270','7138270' 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(U_ENR IN ('S7138270','7138270' )  OR U_MSENR IN ('S7138270','7138270' )) AND U_PRODTYPE ='MS' AND %Filter1% AND %Filter2%    ORDER BY DOCNUM, DOCDATE</v>
      </c>
      <c r="F4" s="8" t="s">
        <v>46</v>
      </c>
      <c r="G4" s="4" t="s">
        <v>24</v>
      </c>
      <c r="H4" s="4" t="str">
        <f>" ORDER BY DOCNUM, DOCDATE"</f>
        <v xml:space="preserve"> ORDER BY DOCNUM, DOCDATE</v>
      </c>
    </row>
    <row r="5" spans="1:42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 ORDER BY DOCNUM, DOCDATE</v>
      </c>
      <c r="F5" s="8" t="s">
        <v>47</v>
      </c>
      <c r="G5" s="4" t="s">
        <v>24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</v>
      </c>
    </row>
    <row r="6" spans="1:42" ht="15.75" hidden="1" customHeight="1">
      <c r="A6" s="1" t="s">
        <v>7</v>
      </c>
      <c r="C6" s="4" t="s">
        <v>36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 ORDER BY DOCNUM, DOCDATE</v>
      </c>
      <c r="F6" s="8" t="s">
        <v>47</v>
      </c>
      <c r="G6" s="4" t="s">
        <v>24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</v>
      </c>
    </row>
    <row r="7" spans="1:42" hidden="1">
      <c r="A7" s="1" t="s">
        <v>7</v>
      </c>
    </row>
    <row r="8" spans="1:42" hidden="1">
      <c r="A8" s="1" t="s">
        <v>7</v>
      </c>
      <c r="K8" s="32"/>
    </row>
    <row r="9" spans="1:42" hidden="1">
      <c r="A9" s="1" t="s">
        <v>7</v>
      </c>
      <c r="K9" s="32"/>
    </row>
    <row r="10" spans="1:42" hidden="1">
      <c r="A10" s="1" t="s">
        <v>7</v>
      </c>
    </row>
    <row r="11" spans="1:42" hidden="1">
      <c r="A11" s="1" t="s">
        <v>7</v>
      </c>
      <c r="C11" s="4" t="s">
        <v>26</v>
      </c>
      <c r="E11" s="4" t="str">
        <f>Option!$C$9</f>
        <v>20221201..20221230</v>
      </c>
      <c r="K11" s="32"/>
    </row>
    <row r="12" spans="1:42" hidden="1">
      <c r="A12" s="1" t="s">
        <v>7</v>
      </c>
      <c r="C12" s="4" t="s">
        <v>27</v>
      </c>
      <c r="E12" s="4" t="str">
        <f>Option!$C$5</f>
        <v>*</v>
      </c>
      <c r="K12" s="32"/>
    </row>
    <row r="13" spans="1:42" hidden="1">
      <c r="A13" s="1" t="s">
        <v>7</v>
      </c>
      <c r="C13" s="4" t="s">
        <v>37</v>
      </c>
      <c r="E13" s="4" t="str">
        <f>Option!$C$10</f>
        <v xml:space="preserve">'S7138270','7138270' </v>
      </c>
      <c r="K13" s="32"/>
    </row>
    <row r="14" spans="1:42" hidden="1">
      <c r="A14" s="1" t="s">
        <v>7</v>
      </c>
      <c r="C14" s="4" t="s">
        <v>35</v>
      </c>
      <c r="E14" s="4" t="str">
        <f>Option!$C$11</f>
        <v xml:space="preserve">'S7138270','7138270' </v>
      </c>
      <c r="K14" s="32"/>
    </row>
    <row r="15" spans="1:42" hidden="1">
      <c r="A15" s="1" t="s">
        <v>7</v>
      </c>
      <c r="C15" s="4" t="s">
        <v>38</v>
      </c>
      <c r="E15" s="4" t="str">
        <f>Option!$C$12</f>
        <v>'MS'</v>
      </c>
      <c r="Z15" s="33"/>
    </row>
    <row r="16" spans="1:42" hidden="1">
      <c r="A16" s="1" t="s">
        <v>7</v>
      </c>
      <c r="C16" s="4" t="s">
        <v>39</v>
      </c>
      <c r="E16" s="4" t="str">
        <f>Option!$C$13</f>
        <v>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</v>
      </c>
    </row>
    <row r="17" spans="1:42" hidden="1">
      <c r="A17" s="1" t="s">
        <v>7</v>
      </c>
    </row>
    <row r="18" spans="1:42" s="14" customFormat="1" hidden="1">
      <c r="A18" s="14" t="s">
        <v>7</v>
      </c>
      <c r="I18" s="15"/>
      <c r="K18" s="16"/>
      <c r="L18" s="16"/>
      <c r="M18" s="34"/>
      <c r="N18" s="16"/>
      <c r="O18" s="16"/>
      <c r="P18" s="16"/>
      <c r="Q18" s="16"/>
      <c r="R18" s="16"/>
      <c r="S18" s="16"/>
      <c r="T18" s="16"/>
      <c r="U18" s="16"/>
      <c r="V18" s="16"/>
      <c r="W18" s="35"/>
      <c r="X18" s="16"/>
      <c r="Y18" s="16"/>
      <c r="Z18" s="16"/>
      <c r="AA18" s="16"/>
      <c r="AB18" s="36"/>
      <c r="AC18" s="37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</row>
    <row r="20" spans="1:42" ht="15.75"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</row>
    <row r="21" spans="1:42" ht="15.75">
      <c r="K21" s="61" t="s">
        <v>40</v>
      </c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</row>
    <row r="22" spans="1:42" ht="15.75"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</row>
    <row r="23" spans="1:42" ht="126">
      <c r="E23" s="9" t="s">
        <v>28</v>
      </c>
      <c r="K23" s="21" t="s">
        <v>54</v>
      </c>
      <c r="L23" s="21" t="s">
        <v>55</v>
      </c>
      <c r="M23" s="21" t="s">
        <v>14</v>
      </c>
      <c r="N23" s="21" t="s">
        <v>15</v>
      </c>
      <c r="O23" s="38" t="s">
        <v>29</v>
      </c>
      <c r="P23" s="21" t="s">
        <v>56</v>
      </c>
      <c r="Q23" s="21" t="s">
        <v>57</v>
      </c>
      <c r="R23" s="21" t="s">
        <v>30</v>
      </c>
      <c r="S23" s="21" t="s">
        <v>34</v>
      </c>
      <c r="T23" s="21" t="s">
        <v>32</v>
      </c>
      <c r="U23" s="39" t="s">
        <v>223</v>
      </c>
      <c r="V23" s="39" t="s">
        <v>16</v>
      </c>
      <c r="W23" s="40" t="s">
        <v>58</v>
      </c>
      <c r="X23" s="40" t="s">
        <v>59</v>
      </c>
      <c r="Y23" s="41" t="s">
        <v>33</v>
      </c>
      <c r="Z23" s="41" t="s">
        <v>12</v>
      </c>
      <c r="AA23" s="21" t="s">
        <v>31</v>
      </c>
      <c r="AB23" s="21" t="s">
        <v>13</v>
      </c>
      <c r="AC23" s="25" t="s">
        <v>49</v>
      </c>
      <c r="AD23" s="22" t="s">
        <v>50</v>
      </c>
      <c r="AE23" s="23" t="s">
        <v>60</v>
      </c>
      <c r="AF23" s="23" t="s">
        <v>61</v>
      </c>
      <c r="AG23" s="23" t="s">
        <v>62</v>
      </c>
      <c r="AH23" s="23" t="s">
        <v>63</v>
      </c>
      <c r="AI23" s="40" t="s">
        <v>64</v>
      </c>
      <c r="AJ23" s="40" t="s">
        <v>65</v>
      </c>
      <c r="AK23" s="40" t="s">
        <v>66</v>
      </c>
      <c r="AL23" s="40" t="s">
        <v>67</v>
      </c>
      <c r="AM23" s="40" t="s">
        <v>68</v>
      </c>
      <c r="AN23" s="40" t="s">
        <v>69</v>
      </c>
      <c r="AO23" s="40" t="s">
        <v>70</v>
      </c>
      <c r="AP23" s="21" t="s">
        <v>71</v>
      </c>
    </row>
    <row r="24" spans="1:42">
      <c r="K24" s="24">
        <f t="shared" ref="K24:K39" si="0">MONTH(N24)</f>
        <v>12</v>
      </c>
      <c r="L24" s="24">
        <v>2024</v>
      </c>
      <c r="M24" s="42">
        <v>33037433</v>
      </c>
      <c r="N24" s="43">
        <v>45649</v>
      </c>
      <c r="O24" s="24" t="s">
        <v>507</v>
      </c>
      <c r="P24" s="24" t="s">
        <v>508</v>
      </c>
      <c r="Q24" s="24"/>
      <c r="R24" s="42" t="str">
        <f>"CS0608-SGD"</f>
        <v>CS0608-SGD</v>
      </c>
      <c r="S24" s="42" t="str">
        <f>"ST. ANDREW'S NURSING HOME (HENDERSON)"</f>
        <v>ST. ANDREW'S NURSING HOME (HENDERSON)</v>
      </c>
      <c r="T24" s="42" t="str">
        <f>"PO-HNH-1224-00010"</f>
        <v>PO-HNH-1224-00010</v>
      </c>
      <c r="U24" s="42">
        <v>954393</v>
      </c>
      <c r="V24" s="43">
        <v>45646</v>
      </c>
      <c r="W24" s="43">
        <v>45649</v>
      </c>
      <c r="X24" s="24">
        <f>W24-V24</f>
        <v>3</v>
      </c>
      <c r="Y24" s="24"/>
      <c r="Z24" s="24"/>
      <c r="AA24" s="20" t="str">
        <f t="shared" ref="AA24:AA29" si="1">"KEVIN LIN MING YAO"</f>
        <v>KEVIN LIN MING YAO</v>
      </c>
      <c r="AB24" s="42">
        <v>9</v>
      </c>
      <c r="AC24" s="44">
        <v>35.51</v>
      </c>
      <c r="AD24" s="45">
        <v>319.58999999999997</v>
      </c>
      <c r="AE24" s="24"/>
      <c r="AF24" s="45">
        <v>319.58999999999997</v>
      </c>
      <c r="AG24" s="46" t="s">
        <v>72</v>
      </c>
      <c r="AH24" s="60" t="s">
        <v>517</v>
      </c>
      <c r="AI24" s="24"/>
      <c r="AJ24" s="47" t="s">
        <v>74</v>
      </c>
      <c r="AK24" s="43" t="str">
        <f>"MSEP2-24897GLP"</f>
        <v>MSEP2-24897GLP</v>
      </c>
      <c r="AL24" s="42" t="str">
        <f>"MS WIN SERVER CAL 2025 SLNG DCAL"</f>
        <v>MS WIN SERVER CAL 2025 SLNG DCAL</v>
      </c>
      <c r="AM24" s="24" t="str">
        <f t="shared" ref="AM24:AO29" si="2">"-"</f>
        <v>-</v>
      </c>
      <c r="AN24" s="24" t="str">
        <f t="shared" si="2"/>
        <v>-</v>
      </c>
      <c r="AO24" s="24" t="str">
        <f t="shared" si="2"/>
        <v>-</v>
      </c>
      <c r="AP24" s="24" t="s">
        <v>509</v>
      </c>
    </row>
    <row r="25" spans="1:42">
      <c r="K25" s="24">
        <f t="shared" si="0"/>
        <v>12</v>
      </c>
      <c r="L25" s="24">
        <v>2024</v>
      </c>
      <c r="M25" s="42">
        <v>33037433</v>
      </c>
      <c r="N25" s="43">
        <v>45649</v>
      </c>
      <c r="O25" s="24" t="s">
        <v>507</v>
      </c>
      <c r="P25" s="24" t="s">
        <v>508</v>
      </c>
      <c r="Q25" s="24"/>
      <c r="R25" s="42" t="str">
        <f>"CS0608-SGD"</f>
        <v>CS0608-SGD</v>
      </c>
      <c r="S25" s="42" t="str">
        <f>"ST. ANDREW'S NURSING HOME (HENDERSON)"</f>
        <v>ST. ANDREW'S NURSING HOME (HENDERSON)</v>
      </c>
      <c r="T25" s="42" t="str">
        <f>"PO-HNH-1224-00010"</f>
        <v>PO-HNH-1224-00010</v>
      </c>
      <c r="U25" s="42">
        <v>954393</v>
      </c>
      <c r="V25" s="43">
        <v>45646</v>
      </c>
      <c r="W25" s="43">
        <v>45649</v>
      </c>
      <c r="X25" s="24">
        <f t="shared" ref="X25:X29" si="3">W25-V25</f>
        <v>3</v>
      </c>
      <c r="Y25" s="24"/>
      <c r="Z25" s="24"/>
      <c r="AA25" s="20" t="str">
        <f t="shared" si="1"/>
        <v>KEVIN LIN MING YAO</v>
      </c>
      <c r="AB25" s="42">
        <v>9</v>
      </c>
      <c r="AC25" s="44">
        <v>445.01</v>
      </c>
      <c r="AD25" s="45">
        <v>4005.09</v>
      </c>
      <c r="AE25" s="24"/>
      <c r="AF25" s="45">
        <v>4005.09</v>
      </c>
      <c r="AG25" s="46" t="s">
        <v>72</v>
      </c>
      <c r="AH25" s="60" t="s">
        <v>517</v>
      </c>
      <c r="AI25" s="24"/>
      <c r="AJ25" s="47" t="s">
        <v>74</v>
      </c>
      <c r="AK25" s="43" t="str">
        <f>"MSEP2-27380GLP"</f>
        <v>MSEP2-27380GLP</v>
      </c>
      <c r="AL25" s="42" t="str">
        <f>"MS OFFICE STANDARD 2024 SLNG LTSC"</f>
        <v>MS OFFICE STANDARD 2024 SLNG LTSC</v>
      </c>
      <c r="AM25" s="24" t="str">
        <f t="shared" si="2"/>
        <v>-</v>
      </c>
      <c r="AN25" s="24" t="str">
        <f t="shared" si="2"/>
        <v>-</v>
      </c>
      <c r="AO25" s="24" t="str">
        <f t="shared" si="2"/>
        <v>-</v>
      </c>
      <c r="AP25" s="24" t="s">
        <v>509</v>
      </c>
    </row>
    <row r="26" spans="1:42">
      <c r="K26" s="24">
        <f t="shared" si="0"/>
        <v>12</v>
      </c>
      <c r="L26" s="24">
        <v>2024</v>
      </c>
      <c r="M26" s="42">
        <v>33037386</v>
      </c>
      <c r="N26" s="43">
        <v>45643</v>
      </c>
      <c r="O26" s="24" t="s">
        <v>507</v>
      </c>
      <c r="P26" s="24" t="s">
        <v>508</v>
      </c>
      <c r="Q26" s="24"/>
      <c r="R26" s="42" t="str">
        <f>"CS0766-SGD"</f>
        <v>CS0766-SGD</v>
      </c>
      <c r="S26" s="42" t="str">
        <f>"ST. ANDREW'S NURSING HOME (ALJUNIED)"</f>
        <v>ST. ANDREW'S NURSING HOME (ALJUNIED)</v>
      </c>
      <c r="T26" s="42" t="str">
        <f>"PO-1224-00012"</f>
        <v>PO-1224-00012</v>
      </c>
      <c r="U26" s="42">
        <v>954272</v>
      </c>
      <c r="V26" s="43">
        <v>45639</v>
      </c>
      <c r="W26" s="43">
        <v>45643</v>
      </c>
      <c r="X26" s="24">
        <f t="shared" si="3"/>
        <v>4</v>
      </c>
      <c r="Y26" s="24"/>
      <c r="Z26" s="24"/>
      <c r="AA26" s="20" t="str">
        <f t="shared" si="1"/>
        <v>KEVIN LIN MING YAO</v>
      </c>
      <c r="AB26" s="42">
        <v>12</v>
      </c>
      <c r="AC26" s="44">
        <v>445.01</v>
      </c>
      <c r="AD26" s="45">
        <v>5340.12</v>
      </c>
      <c r="AE26" s="24"/>
      <c r="AF26" s="45">
        <v>5340.12</v>
      </c>
      <c r="AG26" s="46" t="s">
        <v>72</v>
      </c>
      <c r="AH26" s="60" t="s">
        <v>518</v>
      </c>
      <c r="AI26" s="24"/>
      <c r="AJ26" s="47" t="s">
        <v>74</v>
      </c>
      <c r="AK26" s="43" t="str">
        <f>"MSEP2-27380GLP"</f>
        <v>MSEP2-27380GLP</v>
      </c>
      <c r="AL26" s="42" t="str">
        <f>"MS OFFICE STANDARD 2024 SLNG LTSC"</f>
        <v>MS OFFICE STANDARD 2024 SLNG LTSC</v>
      </c>
      <c r="AM26" s="24" t="str">
        <f t="shared" si="2"/>
        <v>-</v>
      </c>
      <c r="AN26" s="24" t="str">
        <f t="shared" si="2"/>
        <v>-</v>
      </c>
      <c r="AO26" s="24" t="str">
        <f t="shared" si="2"/>
        <v>-</v>
      </c>
      <c r="AP26" s="24" t="s">
        <v>509</v>
      </c>
    </row>
    <row r="27" spans="1:42">
      <c r="K27" s="24">
        <f t="shared" si="0"/>
        <v>12</v>
      </c>
      <c r="L27" s="24">
        <v>2024</v>
      </c>
      <c r="M27" s="42">
        <v>33037377</v>
      </c>
      <c r="N27" s="43">
        <v>45639</v>
      </c>
      <c r="O27" s="24" t="s">
        <v>507</v>
      </c>
      <c r="P27" s="24" t="s">
        <v>508</v>
      </c>
      <c r="Q27" s="24"/>
      <c r="R27" s="42" t="str">
        <f>"CS0672-SGD"</f>
        <v>CS0672-SGD</v>
      </c>
      <c r="S27" s="42" t="str">
        <f>"ST. ANDREW'S NURSING HOME (TAMAN JURONG)"</f>
        <v>ST. ANDREW'S NURSING HOME (TAMAN JURONG)</v>
      </c>
      <c r="T27" s="42" t="str">
        <f>"PO-TJNH-1224-00018"</f>
        <v>PO-TJNH-1224-00018</v>
      </c>
      <c r="U27" s="42">
        <v>954248</v>
      </c>
      <c r="V27" s="43">
        <v>45638</v>
      </c>
      <c r="W27" s="43">
        <v>45639</v>
      </c>
      <c r="X27" s="24">
        <f t="shared" si="3"/>
        <v>1</v>
      </c>
      <c r="Y27" s="24"/>
      <c r="Z27" s="24"/>
      <c r="AA27" s="20" t="str">
        <f t="shared" si="1"/>
        <v>KEVIN LIN MING YAO</v>
      </c>
      <c r="AB27" s="42">
        <v>4</v>
      </c>
      <c r="AC27" s="44">
        <v>35.51</v>
      </c>
      <c r="AD27" s="45">
        <v>142.04</v>
      </c>
      <c r="AE27" s="24"/>
      <c r="AF27" s="45">
        <v>142.04</v>
      </c>
      <c r="AG27" s="46" t="s">
        <v>72</v>
      </c>
      <c r="AH27" s="60" t="s">
        <v>519</v>
      </c>
      <c r="AI27" s="24"/>
      <c r="AJ27" s="47" t="s">
        <v>74</v>
      </c>
      <c r="AK27" s="43" t="str">
        <f>"MSEP2-24897GLP"</f>
        <v>MSEP2-24897GLP</v>
      </c>
      <c r="AL27" s="42" t="str">
        <f>"MS WIN SERVER CAL 2025 SLNG DCAL"</f>
        <v>MS WIN SERVER CAL 2025 SLNG DCAL</v>
      </c>
      <c r="AM27" s="24" t="str">
        <f t="shared" si="2"/>
        <v>-</v>
      </c>
      <c r="AN27" s="24" t="str">
        <f t="shared" si="2"/>
        <v>-</v>
      </c>
      <c r="AO27" s="24" t="str">
        <f t="shared" si="2"/>
        <v>-</v>
      </c>
      <c r="AP27" s="24" t="s">
        <v>509</v>
      </c>
    </row>
    <row r="28" spans="1:42">
      <c r="K28" s="24">
        <f t="shared" si="0"/>
        <v>12</v>
      </c>
      <c r="L28" s="24">
        <v>2024</v>
      </c>
      <c r="M28" s="42">
        <v>33037377</v>
      </c>
      <c r="N28" s="43">
        <v>45639</v>
      </c>
      <c r="O28" s="24" t="s">
        <v>507</v>
      </c>
      <c r="P28" s="24" t="s">
        <v>508</v>
      </c>
      <c r="Q28" s="24"/>
      <c r="R28" s="42" t="str">
        <f>"CS0672-SGD"</f>
        <v>CS0672-SGD</v>
      </c>
      <c r="S28" s="42" t="str">
        <f>"ST. ANDREW'S NURSING HOME (TAMAN JURONG)"</f>
        <v>ST. ANDREW'S NURSING HOME (TAMAN JURONG)</v>
      </c>
      <c r="T28" s="42" t="str">
        <f>"PO-TJNH-1224-00018"</f>
        <v>PO-TJNH-1224-00018</v>
      </c>
      <c r="U28" s="42">
        <v>954248</v>
      </c>
      <c r="V28" s="43">
        <v>45638</v>
      </c>
      <c r="W28" s="43">
        <v>45639</v>
      </c>
      <c r="X28" s="24">
        <f t="shared" si="3"/>
        <v>1</v>
      </c>
      <c r="Y28" s="24"/>
      <c r="Z28" s="24"/>
      <c r="AA28" s="20" t="str">
        <f t="shared" si="1"/>
        <v>KEVIN LIN MING YAO</v>
      </c>
      <c r="AB28" s="42">
        <v>4</v>
      </c>
      <c r="AC28" s="44">
        <v>445.01</v>
      </c>
      <c r="AD28" s="45">
        <v>1780.04</v>
      </c>
      <c r="AE28" s="24"/>
      <c r="AF28" s="45">
        <v>1780.04</v>
      </c>
      <c r="AG28" s="46" t="s">
        <v>72</v>
      </c>
      <c r="AH28" s="60" t="s">
        <v>519</v>
      </c>
      <c r="AI28" s="24"/>
      <c r="AJ28" s="47" t="s">
        <v>74</v>
      </c>
      <c r="AK28" s="43" t="str">
        <f>"MSEP2-27380GLP"</f>
        <v>MSEP2-27380GLP</v>
      </c>
      <c r="AL28" s="42" t="str">
        <f>"MS OFFICE STANDARD 2024 SLNG LTSC"</f>
        <v>MS OFFICE STANDARD 2024 SLNG LTSC</v>
      </c>
      <c r="AM28" s="24" t="str">
        <f t="shared" si="2"/>
        <v>-</v>
      </c>
      <c r="AN28" s="24" t="str">
        <f t="shared" si="2"/>
        <v>-</v>
      </c>
      <c r="AO28" s="24" t="str">
        <f t="shared" si="2"/>
        <v>-</v>
      </c>
      <c r="AP28" s="24" t="s">
        <v>509</v>
      </c>
    </row>
    <row r="29" spans="1:42">
      <c r="K29" s="24">
        <f t="shared" si="0"/>
        <v>12</v>
      </c>
      <c r="L29" s="24">
        <v>2024</v>
      </c>
      <c r="M29" s="42">
        <v>33037365</v>
      </c>
      <c r="N29" s="43">
        <v>45638</v>
      </c>
      <c r="O29" s="24" t="s">
        <v>507</v>
      </c>
      <c r="P29" s="24" t="s">
        <v>508</v>
      </c>
      <c r="Q29" s="24"/>
      <c r="R29" s="42" t="str">
        <f>"CS0481-SGD"</f>
        <v>CS0481-SGD</v>
      </c>
      <c r="S29" s="42" t="str">
        <f>"ST. ANDREW'S NURSING HOME"</f>
        <v>ST. ANDREW'S NURSING HOME</v>
      </c>
      <c r="T29" s="42" t="str">
        <f>"SANH(B)0525/12/2024"</f>
        <v>SANH(B)0525/12/2024</v>
      </c>
      <c r="U29" s="42">
        <v>954209</v>
      </c>
      <c r="V29" s="43">
        <v>45637</v>
      </c>
      <c r="W29" s="43">
        <v>45638</v>
      </c>
      <c r="X29" s="24">
        <f t="shared" si="3"/>
        <v>1</v>
      </c>
      <c r="Y29" s="24"/>
      <c r="Z29" s="24"/>
      <c r="AA29" s="20" t="str">
        <f t="shared" si="1"/>
        <v>KEVIN LIN MING YAO</v>
      </c>
      <c r="AB29" s="42">
        <v>10</v>
      </c>
      <c r="AC29" s="44">
        <v>445.01000000000005</v>
      </c>
      <c r="AD29" s="45">
        <v>4450.1000000000004</v>
      </c>
      <c r="AE29" s="24"/>
      <c r="AF29" s="45">
        <v>4450.1000000000004</v>
      </c>
      <c r="AG29" s="46" t="s">
        <v>72</v>
      </c>
      <c r="AH29" s="60" t="s">
        <v>520</v>
      </c>
      <c r="AI29" s="24"/>
      <c r="AJ29" s="47" t="s">
        <v>74</v>
      </c>
      <c r="AK29" s="43" t="str">
        <f>"MSEP2-27380GLP"</f>
        <v>MSEP2-27380GLP</v>
      </c>
      <c r="AL29" s="42" t="str">
        <f>"MS OFFICE STANDARD 2024 SLNG LTSC"</f>
        <v>MS OFFICE STANDARD 2024 SLNG LTSC</v>
      </c>
      <c r="AM29" s="24" t="str">
        <f t="shared" si="2"/>
        <v>-</v>
      </c>
      <c r="AN29" s="24" t="str">
        <f t="shared" si="2"/>
        <v>-</v>
      </c>
      <c r="AO29" s="24" t="str">
        <f t="shared" si="2"/>
        <v>-</v>
      </c>
      <c r="AP29" s="24" t="s">
        <v>509</v>
      </c>
    </row>
    <row r="30" spans="1:42" s="9" customFormat="1">
      <c r="A30" s="48"/>
      <c r="B30" s="48"/>
      <c r="I30" s="49"/>
      <c r="K30" s="50">
        <f t="shared" si="0"/>
        <v>12</v>
      </c>
      <c r="L30" s="50">
        <f t="shared" ref="L30:L39" si="4">YEAR(N30)</f>
        <v>2024</v>
      </c>
      <c r="M30" s="50">
        <v>33037272</v>
      </c>
      <c r="N30" s="51">
        <v>45629</v>
      </c>
      <c r="O30" s="50" t="str">
        <f t="shared" ref="O30:O39" si="5">"S7138270"</f>
        <v>S7138270</v>
      </c>
      <c r="P30" s="50" t="str">
        <f>"868CE4DB"</f>
        <v>868CE4DB</v>
      </c>
      <c r="Q30" s="50"/>
      <c r="R30" s="50" t="str">
        <f>"CI1209-SGD"</f>
        <v>CI1209-SGD</v>
      </c>
      <c r="S30" s="50" t="str">
        <f>"SINGHEALTH POLYCLINICS"</f>
        <v>SINGHEALTH POLYCLINICS</v>
      </c>
      <c r="T30" s="50" t="str">
        <f>"9024101599"</f>
        <v>9024101599</v>
      </c>
      <c r="U30" s="52" t="str">
        <f>"953589"</f>
        <v>953589</v>
      </c>
      <c r="V30" s="52">
        <v>45601</v>
      </c>
      <c r="W30" s="52">
        <v>45629</v>
      </c>
      <c r="X30" s="53">
        <f t="shared" ref="X30:X39" si="6">SUM(N30-V30)</f>
        <v>28</v>
      </c>
      <c r="Y30" s="54" t="str">
        <f>"MS228-04529GLP"</f>
        <v>MS228-04529GLP</v>
      </c>
      <c r="Z30" s="54" t="str">
        <f>"MS SQL SERVER STANDARD SLNG SA"</f>
        <v>MS SQL SERVER STANDARD SLNG SA</v>
      </c>
      <c r="AA30" s="54" t="str">
        <f t="shared" ref="AA30:AA39" si="7">"WENDY KUM CHIOU SZE"</f>
        <v>WENDY KUM CHIOU SZE</v>
      </c>
      <c r="AB30" s="53">
        <v>2</v>
      </c>
      <c r="AC30" s="55">
        <f t="shared" ref="AC30:AC39" si="8">IFERROR(AD30/AB30,0)</f>
        <v>654.34</v>
      </c>
      <c r="AD30" s="55">
        <v>1308.68</v>
      </c>
      <c r="AE30" s="55" t="str">
        <f t="shared" ref="AE30:AE39" si="9">"-"</f>
        <v>-</v>
      </c>
      <c r="AF30" s="56">
        <v>1308.68</v>
      </c>
      <c r="AG30" s="51" t="s">
        <v>72</v>
      </c>
      <c r="AH30" s="57" t="str">
        <f>"SINGHEALTH POLYCLINICS_x000D_167 JALAN BUKIT MERAH, PHARMACY DEPT_x000D_CONNECTION ONE, TOWER 5, #15-10_x000D_SINGAPORE 150167_x000D_VICTOR WONG KUM FAI / CHRISTINA LIM JIT FAN_x000D_6350 7454"</f>
        <v>SINGHEALTH POLYCLINICS_x000D_167 JALAN BUKIT MERAH, PHARMACY DEPT_x000D_CONNECTION ONE, TOWER 5, #15-10_x000D_SINGAPORE 150167_x000D_VICTOR WONG KUM FAI / CHRISTINA LIM JIT FAN_x000D_6350 7454</v>
      </c>
      <c r="AI30" s="58" t="s">
        <v>73</v>
      </c>
      <c r="AJ30" s="58" t="s">
        <v>74</v>
      </c>
      <c r="AK30" s="50" t="str">
        <f>"MS228-04529GLP"</f>
        <v>MS228-04529GLP</v>
      </c>
      <c r="AL30" s="50" t="str">
        <f>"MS SQL SERVER STANDARD SLNG SA"</f>
        <v>MS SQL SERVER STANDARD SLNG SA</v>
      </c>
      <c r="AM30" s="50" t="s">
        <v>510</v>
      </c>
      <c r="AN30" s="50" t="s">
        <v>511</v>
      </c>
      <c r="AO30" s="50" t="s">
        <v>512</v>
      </c>
      <c r="AP30" s="50" t="s">
        <v>513</v>
      </c>
    </row>
    <row r="31" spans="1:42" s="9" customFormat="1">
      <c r="A31" s="48"/>
      <c r="B31" s="48"/>
      <c r="I31" s="49"/>
      <c r="K31" s="50">
        <f t="shared" si="0"/>
        <v>12</v>
      </c>
      <c r="L31" s="50">
        <f t="shared" si="4"/>
        <v>2024</v>
      </c>
      <c r="M31" s="50">
        <v>33037272</v>
      </c>
      <c r="N31" s="51">
        <v>45629</v>
      </c>
      <c r="O31" s="50" t="str">
        <f t="shared" si="5"/>
        <v>S7138270</v>
      </c>
      <c r="P31" s="50" t="str">
        <f>"868CE4DB"</f>
        <v>868CE4DB</v>
      </c>
      <c r="Q31" s="50"/>
      <c r="R31" s="50" t="str">
        <f>"CI1209-SGD"</f>
        <v>CI1209-SGD</v>
      </c>
      <c r="S31" s="50" t="str">
        <f>"SINGHEALTH POLYCLINICS"</f>
        <v>SINGHEALTH POLYCLINICS</v>
      </c>
      <c r="T31" s="50" t="str">
        <f>"9024101599"</f>
        <v>9024101599</v>
      </c>
      <c r="U31" s="52" t="str">
        <f>"953589"</f>
        <v>953589</v>
      </c>
      <c r="V31" s="52">
        <v>45601</v>
      </c>
      <c r="W31" s="52">
        <v>45629</v>
      </c>
      <c r="X31" s="53">
        <f t="shared" si="6"/>
        <v>28</v>
      </c>
      <c r="Y31" s="54" t="str">
        <f>"MS359-01014GLP"</f>
        <v>MS359-01014GLP</v>
      </c>
      <c r="Z31" s="54" t="str">
        <f>"MS SQL CAL SNGL SA MVL USER CAL"</f>
        <v>MS SQL CAL SNGL SA MVL USER CAL</v>
      </c>
      <c r="AA31" s="54" t="str">
        <f t="shared" si="7"/>
        <v>WENDY KUM CHIOU SZE</v>
      </c>
      <c r="AB31" s="53">
        <v>15</v>
      </c>
      <c r="AC31" s="55">
        <f t="shared" si="8"/>
        <v>155.88999999999999</v>
      </c>
      <c r="AD31" s="55">
        <v>2338.35</v>
      </c>
      <c r="AE31" s="55" t="str">
        <f t="shared" si="9"/>
        <v>-</v>
      </c>
      <c r="AF31" s="56">
        <v>2338.35</v>
      </c>
      <c r="AG31" s="51" t="s">
        <v>72</v>
      </c>
      <c r="AH31" s="57" t="str">
        <f>"SINGHEALTH POLYCLINICS_x000D_167 JALAN BUKIT MERAH, PHARMACY DEPT_x000D_CONNECTION ONE, TOWER 5, #15-10_x000D_SINGAPORE 150167_x000D_VICTOR WONG KUM FAI / CHRISTINA LIM JIT FAN_x000D_6350 7454"</f>
        <v>SINGHEALTH POLYCLINICS_x000D_167 JALAN BUKIT MERAH, PHARMACY DEPT_x000D_CONNECTION ONE, TOWER 5, #15-10_x000D_SINGAPORE 150167_x000D_VICTOR WONG KUM FAI / CHRISTINA LIM JIT FAN_x000D_6350 7454</v>
      </c>
      <c r="AI31" s="58" t="s">
        <v>73</v>
      </c>
      <c r="AJ31" s="58" t="s">
        <v>74</v>
      </c>
      <c r="AK31" s="50" t="str">
        <f>"MS359-01014GLP"</f>
        <v>MS359-01014GLP</v>
      </c>
      <c r="AL31" s="50" t="str">
        <f>"MS SQL CAL SNGL SA MVL USER CAL"</f>
        <v>MS SQL CAL SNGL SA MVL USER CAL</v>
      </c>
      <c r="AM31" s="50" t="s">
        <v>510</v>
      </c>
      <c r="AN31" s="50" t="s">
        <v>511</v>
      </c>
      <c r="AO31" s="50" t="s">
        <v>512</v>
      </c>
      <c r="AP31" s="50" t="s">
        <v>514</v>
      </c>
    </row>
    <row r="32" spans="1:42" s="9" customFormat="1">
      <c r="A32" s="48"/>
      <c r="B32" s="48"/>
      <c r="I32" s="49"/>
      <c r="K32" s="50">
        <f t="shared" si="0"/>
        <v>12</v>
      </c>
      <c r="L32" s="50">
        <f t="shared" si="4"/>
        <v>2024</v>
      </c>
      <c r="M32" s="50">
        <v>33037273</v>
      </c>
      <c r="N32" s="51">
        <v>45629</v>
      </c>
      <c r="O32" s="50" t="str">
        <f t="shared" si="5"/>
        <v>S7138270</v>
      </c>
      <c r="P32" s="50" t="str">
        <f>"B1EFBA40"</f>
        <v>B1EFBA40</v>
      </c>
      <c r="Q32" s="50"/>
      <c r="R32" s="50" t="str">
        <f>"CI1077-SGD"</f>
        <v>CI1077-SGD</v>
      </c>
      <c r="S32" s="50" t="str">
        <f>"KK WOMEN'S AND CHILDREN'S HOSPITAL"</f>
        <v>KK WOMEN'S AND CHILDREN'S HOSPITAL</v>
      </c>
      <c r="T32" s="50" t="str">
        <f>"9410267954"</f>
        <v>9410267954</v>
      </c>
      <c r="U32" s="52" t="str">
        <f>"953590"</f>
        <v>953590</v>
      </c>
      <c r="V32" s="52">
        <v>45601</v>
      </c>
      <c r="W32" s="52">
        <v>45629</v>
      </c>
      <c r="X32" s="53">
        <f t="shared" si="6"/>
        <v>28</v>
      </c>
      <c r="Y32" s="54" t="str">
        <f>"MS7NQ-00301GLP"</f>
        <v>MS7NQ-00301GLP</v>
      </c>
      <c r="Z32" s="54" t="str">
        <f>"MS SQL SERVER STANDARD CORE SLNG SA 2L"</f>
        <v>MS SQL SERVER STANDARD CORE SLNG SA 2L</v>
      </c>
      <c r="AA32" s="54" t="str">
        <f t="shared" si="7"/>
        <v>WENDY KUM CHIOU SZE</v>
      </c>
      <c r="AB32" s="53">
        <v>4</v>
      </c>
      <c r="AC32" s="55">
        <f t="shared" si="8"/>
        <v>2584.39</v>
      </c>
      <c r="AD32" s="55">
        <v>10337.56</v>
      </c>
      <c r="AE32" s="55" t="str">
        <f t="shared" si="9"/>
        <v>-</v>
      </c>
      <c r="AF32" s="56">
        <v>10337.56</v>
      </c>
      <c r="AG32" s="51" t="s">
        <v>72</v>
      </c>
      <c r="AH32" s="57" t="str">
        <f>"SEAN TAN LI SEONG_x000D_KK WOMEN'S AND CHILDREN'S HOSPITAL PTE LTD 100 BUKIT TIMAH ROAD  SINGAPORE 229899_x000D_SEAN TAN LI SEONG_x000D_TEL: 94351023_x000D_FAX: _x000D_EMAIL: sean.tan@synapxe.sg"</f>
        <v>SEAN TAN LI SEONG_x000D_KK WOMEN'S AND CHILDREN'S HOSPITAL PTE LTD 100 BUKIT TIMAH ROAD  SINGAPORE 229899_x000D_SEAN TAN LI SEONG_x000D_TEL: 94351023_x000D_FAX: _x000D_EMAIL: sean.tan@synapxe.sg</v>
      </c>
      <c r="AI32" s="58" t="s">
        <v>73</v>
      </c>
      <c r="AJ32" s="58" t="s">
        <v>74</v>
      </c>
      <c r="AK32" s="50" t="str">
        <f>"MS7NQ-00301GLP"</f>
        <v>MS7NQ-00301GLP</v>
      </c>
      <c r="AL32" s="50" t="str">
        <f>"MS SQL SERVER STANDARD CORE SLNG SA 2L"</f>
        <v>MS SQL SERVER STANDARD CORE SLNG SA 2L</v>
      </c>
      <c r="AM32" s="50" t="s">
        <v>510</v>
      </c>
      <c r="AN32" s="50" t="s">
        <v>511</v>
      </c>
      <c r="AO32" s="50" t="s">
        <v>512</v>
      </c>
      <c r="AP32" s="50" t="s">
        <v>515</v>
      </c>
    </row>
    <row r="33" spans="1:45" s="9" customFormat="1">
      <c r="A33" s="48"/>
      <c r="B33" s="48"/>
      <c r="I33" s="49"/>
      <c r="K33" s="50">
        <f t="shared" si="0"/>
        <v>12</v>
      </c>
      <c r="L33" s="50">
        <f t="shared" si="4"/>
        <v>2024</v>
      </c>
      <c r="M33" s="50">
        <v>33037274</v>
      </c>
      <c r="N33" s="51">
        <v>45629</v>
      </c>
      <c r="O33" s="50" t="str">
        <f t="shared" si="5"/>
        <v>S7138270</v>
      </c>
      <c r="P33" s="50" t="str">
        <f>"B1EFBA40"</f>
        <v>B1EFBA40</v>
      </c>
      <c r="Q33" s="50"/>
      <c r="R33" s="50" t="str">
        <f>"CI1077-SGD"</f>
        <v>CI1077-SGD</v>
      </c>
      <c r="S33" s="50" t="str">
        <f>"KK WOMEN'S AND CHILDREN'S HOSPITAL"</f>
        <v>KK WOMEN'S AND CHILDREN'S HOSPITAL</v>
      </c>
      <c r="T33" s="50" t="str">
        <f>"9410268331"</f>
        <v>9410268331</v>
      </c>
      <c r="U33" s="52" t="str">
        <f>"953978"</f>
        <v>953978</v>
      </c>
      <c r="V33" s="52">
        <v>45624</v>
      </c>
      <c r="W33" s="52">
        <v>45629</v>
      </c>
      <c r="X33" s="53">
        <f t="shared" si="6"/>
        <v>5</v>
      </c>
      <c r="Y33" s="54" t="str">
        <f>"MS7NQ-00301GLP"</f>
        <v>MS7NQ-00301GLP</v>
      </c>
      <c r="Z33" s="54" t="str">
        <f>"MS SQL SERVER STANDARD CORE SLNG SA 2L"</f>
        <v>MS SQL SERVER STANDARD CORE SLNG SA 2L</v>
      </c>
      <c r="AA33" s="54" t="str">
        <f t="shared" si="7"/>
        <v>WENDY KUM CHIOU SZE</v>
      </c>
      <c r="AB33" s="53">
        <v>4</v>
      </c>
      <c r="AC33" s="55">
        <f t="shared" si="8"/>
        <v>2622.83</v>
      </c>
      <c r="AD33" s="55">
        <v>10491.32</v>
      </c>
      <c r="AE33" s="55" t="str">
        <f t="shared" si="9"/>
        <v>-</v>
      </c>
      <c r="AF33" s="56">
        <v>10491.32</v>
      </c>
      <c r="AG33" s="51" t="s">
        <v>72</v>
      </c>
      <c r="AH33" s="57" t="str">
        <f>"KENT NG CHEE KEEN_x000D_KK WOMEN'S AND CHILDREN'S HOSPITAL 100 BUKIT TIMAH ROAD DATA CENTRE SINGAPORE 229899_x000D_KENT NG CHEE KEEN_x000D_TEL: 93852392_x000D_FAX: _x000D_EMAIL: kent.ng1@synapxe.sg"</f>
        <v>KENT NG CHEE KEEN_x000D_KK WOMEN'S AND CHILDREN'S HOSPITAL 100 BUKIT TIMAH ROAD DATA CENTRE SINGAPORE 229899_x000D_KENT NG CHEE KEEN_x000D_TEL: 93852392_x000D_FAX: _x000D_EMAIL: kent.ng1@synapxe.sg</v>
      </c>
      <c r="AI33" s="58" t="s">
        <v>73</v>
      </c>
      <c r="AJ33" s="58" t="s">
        <v>74</v>
      </c>
      <c r="AK33" s="50" t="str">
        <f>"MS7NQ-00301GLP"</f>
        <v>MS7NQ-00301GLP</v>
      </c>
      <c r="AL33" s="50" t="str">
        <f>"MS SQL SERVER STANDARD CORE SLNG SA 2L"</f>
        <v>MS SQL SERVER STANDARD CORE SLNG SA 2L</v>
      </c>
      <c r="AM33" s="50" t="s">
        <v>510</v>
      </c>
      <c r="AN33" s="50" t="s">
        <v>511</v>
      </c>
      <c r="AO33" s="50" t="s">
        <v>512</v>
      </c>
      <c r="AP33" s="50" t="s">
        <v>516</v>
      </c>
      <c r="AQ33" s="59"/>
    </row>
    <row r="34" spans="1:45" s="9" customFormat="1">
      <c r="A34" s="48"/>
      <c r="B34" s="48"/>
      <c r="I34" s="49"/>
      <c r="K34" s="50">
        <f t="shared" si="0"/>
        <v>12</v>
      </c>
      <c r="L34" s="50">
        <f t="shared" si="4"/>
        <v>2024</v>
      </c>
      <c r="M34" s="50">
        <v>33037275</v>
      </c>
      <c r="N34" s="51">
        <v>45629</v>
      </c>
      <c r="O34" s="50" t="str">
        <f t="shared" si="5"/>
        <v>S7138270</v>
      </c>
      <c r="P34" s="50" t="str">
        <f>"A89BD94A"</f>
        <v>A89BD94A</v>
      </c>
      <c r="Q34" s="50"/>
      <c r="R34" s="50" t="str">
        <f>"CI1136-SGD"</f>
        <v>CI1136-SGD</v>
      </c>
      <c r="S34" s="50" t="str">
        <f>"NATIONAL CANCER CENTRE OF SINGAPORE PTE LTD"</f>
        <v>NATIONAL CANCER CENTRE OF SINGAPORE PTE LTD</v>
      </c>
      <c r="T34" s="50" t="str">
        <f>"4640001529"</f>
        <v>4640001529</v>
      </c>
      <c r="U34" s="52" t="str">
        <f>"953977"</f>
        <v>953977</v>
      </c>
      <c r="V34" s="52">
        <v>45624</v>
      </c>
      <c r="W34" s="52">
        <v>45629</v>
      </c>
      <c r="X34" s="53">
        <f t="shared" si="6"/>
        <v>5</v>
      </c>
      <c r="Y34" s="54" t="str">
        <f>"MS7NQ-00301GLP"</f>
        <v>MS7NQ-00301GLP</v>
      </c>
      <c r="Z34" s="54" t="str">
        <f>"MS SQL SERVER STANDARD CORE SLNG SA 2L"</f>
        <v>MS SQL SERVER STANDARD CORE SLNG SA 2L</v>
      </c>
      <c r="AA34" s="54" t="str">
        <f t="shared" si="7"/>
        <v>WENDY KUM CHIOU SZE</v>
      </c>
      <c r="AB34" s="53">
        <v>2</v>
      </c>
      <c r="AC34" s="55">
        <f t="shared" si="8"/>
        <v>2622.83</v>
      </c>
      <c r="AD34" s="55">
        <v>5245.66</v>
      </c>
      <c r="AE34" s="55" t="str">
        <f t="shared" si="9"/>
        <v>-</v>
      </c>
      <c r="AF34" s="56">
        <v>5245.66</v>
      </c>
      <c r="AG34" s="51" t="s">
        <v>72</v>
      </c>
      <c r="AH34" s="57" t="str">
        <f>"XU LIQING_x000D_NATIONAL CANCER CENTRE 30 HOSPITAL BOULEVARD BASEMENT 1 SINGAPORE 168583_x000D_XU LIQING_x000D_TEL: 63061318_x000D_FAX: _x000D_EMAIL: xu.liqing@nccs.com.sg"</f>
        <v>XU LIQING_x000D_NATIONAL CANCER CENTRE 30 HOSPITAL BOULEVARD BASEMENT 1 SINGAPORE 168583_x000D_XU LIQING_x000D_TEL: 63061318_x000D_FAX: _x000D_EMAIL: xu.liqing@nccs.com.sg</v>
      </c>
      <c r="AI34" s="58" t="s">
        <v>73</v>
      </c>
      <c r="AJ34" s="58" t="s">
        <v>74</v>
      </c>
      <c r="AK34" s="50" t="str">
        <f>"MS7NQ-00301GLP"</f>
        <v>MS7NQ-00301GLP</v>
      </c>
      <c r="AL34" s="50" t="str">
        <f>"MS SQL SERVER STANDARD CORE SLNG SA 2L"</f>
        <v>MS SQL SERVER STANDARD CORE SLNG SA 2L</v>
      </c>
      <c r="AM34" s="50" t="s">
        <v>510</v>
      </c>
      <c r="AN34" s="50" t="s">
        <v>511</v>
      </c>
      <c r="AO34" s="50" t="s">
        <v>512</v>
      </c>
      <c r="AP34" s="50" t="s">
        <v>516</v>
      </c>
      <c r="AR34" s="59"/>
    </row>
    <row r="35" spans="1:45" s="9" customFormat="1">
      <c r="A35" s="48"/>
      <c r="B35" s="48"/>
      <c r="I35" s="49"/>
      <c r="K35" s="50">
        <f t="shared" si="0"/>
        <v>12</v>
      </c>
      <c r="L35" s="50">
        <f t="shared" si="4"/>
        <v>2024</v>
      </c>
      <c r="M35" s="50">
        <v>33037275</v>
      </c>
      <c r="N35" s="51">
        <v>45629</v>
      </c>
      <c r="O35" s="50" t="str">
        <f t="shared" si="5"/>
        <v>S7138270</v>
      </c>
      <c r="P35" s="50" t="str">
        <f>"A89BD94A"</f>
        <v>A89BD94A</v>
      </c>
      <c r="Q35" s="50"/>
      <c r="R35" s="50" t="str">
        <f>"CI1136-SGD"</f>
        <v>CI1136-SGD</v>
      </c>
      <c r="S35" s="50" t="str">
        <f>"NATIONAL CANCER CENTRE OF SINGAPORE PTE LTD"</f>
        <v>NATIONAL CANCER CENTRE OF SINGAPORE PTE LTD</v>
      </c>
      <c r="T35" s="50" t="str">
        <f>"4640001529"</f>
        <v>4640001529</v>
      </c>
      <c r="U35" s="52" t="str">
        <f>"953977"</f>
        <v>953977</v>
      </c>
      <c r="V35" s="52">
        <v>45624</v>
      </c>
      <c r="W35" s="52">
        <v>45629</v>
      </c>
      <c r="X35" s="53">
        <f t="shared" si="6"/>
        <v>5</v>
      </c>
      <c r="Y35" s="54" t="str">
        <f>"MS7JQ-00355GLP"</f>
        <v>MS7JQ-00355GLP</v>
      </c>
      <c r="Z35" s="54" t="str">
        <f>"MS SQL SERVER ENTERPRISE CORE SLNG SA 2L"</f>
        <v>MS SQL SERVER ENTERPRISE CORE SLNG SA 2L</v>
      </c>
      <c r="AA35" s="54" t="str">
        <f t="shared" si="7"/>
        <v>WENDY KUM CHIOU SZE</v>
      </c>
      <c r="AB35" s="53">
        <v>3</v>
      </c>
      <c r="AC35" s="55">
        <f t="shared" si="8"/>
        <v>10069.31</v>
      </c>
      <c r="AD35" s="55">
        <v>30207.93</v>
      </c>
      <c r="AE35" s="55" t="str">
        <f t="shared" si="9"/>
        <v>-</v>
      </c>
      <c r="AF35" s="56">
        <v>30207.93</v>
      </c>
      <c r="AG35" s="51" t="s">
        <v>72</v>
      </c>
      <c r="AH35" s="57" t="str">
        <f>"XU LIQING_x000D_NATIONAL CANCER CENTRE 30 HOSPITAL BOULEVARD BASEMENT 1 SINGAPORE 168583_x000D_XU LIQING_x000D_TEL: 63061318_x000D_FAX: _x000D_EMAIL: xu.liqing@nccs.com.sg"</f>
        <v>XU LIQING_x000D_NATIONAL CANCER CENTRE 30 HOSPITAL BOULEVARD BASEMENT 1 SINGAPORE 168583_x000D_XU LIQING_x000D_TEL: 63061318_x000D_FAX: _x000D_EMAIL: xu.liqing@nccs.com.sg</v>
      </c>
      <c r="AI35" s="58" t="s">
        <v>73</v>
      </c>
      <c r="AJ35" s="58" t="s">
        <v>74</v>
      </c>
      <c r="AK35" s="50" t="str">
        <f>"MS7JQ-00355GLP"</f>
        <v>MS7JQ-00355GLP</v>
      </c>
      <c r="AL35" s="50" t="str">
        <f>"MS SQL SERVER ENTERPRISE CORE SLNG SA 2L"</f>
        <v>MS SQL SERVER ENTERPRISE CORE SLNG SA 2L</v>
      </c>
      <c r="AM35" s="50" t="s">
        <v>510</v>
      </c>
      <c r="AN35" s="50" t="s">
        <v>511</v>
      </c>
      <c r="AO35" s="50" t="s">
        <v>512</v>
      </c>
      <c r="AP35" s="50" t="s">
        <v>516</v>
      </c>
      <c r="AS35" s="59"/>
    </row>
    <row r="36" spans="1:45" s="9" customFormat="1">
      <c r="A36" s="48"/>
      <c r="B36" s="48"/>
      <c r="I36" s="49"/>
      <c r="K36" s="50">
        <f t="shared" si="0"/>
        <v>12</v>
      </c>
      <c r="L36" s="50">
        <f t="shared" si="4"/>
        <v>2024</v>
      </c>
      <c r="M36" s="50">
        <v>33037390</v>
      </c>
      <c r="N36" s="51">
        <v>45643</v>
      </c>
      <c r="O36" s="50" t="str">
        <f t="shared" si="5"/>
        <v>S7138270</v>
      </c>
      <c r="P36" s="50" t="str">
        <f>"B1EFBA40"</f>
        <v>B1EFBA40</v>
      </c>
      <c r="Q36" s="50"/>
      <c r="R36" s="50" t="str">
        <f>"CI1077-SGD"</f>
        <v>CI1077-SGD</v>
      </c>
      <c r="S36" s="50" t="str">
        <f>"KK WOMEN'S AND CHILDREN'S HOSPITAL"</f>
        <v>KK WOMEN'S AND CHILDREN'S HOSPITAL</v>
      </c>
      <c r="T36" s="50" t="str">
        <f>"9410267867"</f>
        <v>9410267867</v>
      </c>
      <c r="U36" s="52" t="str">
        <f>"954270"</f>
        <v>954270</v>
      </c>
      <c r="V36" s="52">
        <v>45639</v>
      </c>
      <c r="W36" s="52">
        <v>45643</v>
      </c>
      <c r="X36" s="53">
        <f t="shared" si="6"/>
        <v>4</v>
      </c>
      <c r="Y36" s="54" t="str">
        <f>"MS7JQ-00355GLP"</f>
        <v>MS7JQ-00355GLP</v>
      </c>
      <c r="Z36" s="54" t="str">
        <f>"MS SQL SERVER ENTERPRISE CORE SLNG SA 2L"</f>
        <v>MS SQL SERVER ENTERPRISE CORE SLNG SA 2L</v>
      </c>
      <c r="AA36" s="54" t="str">
        <f t="shared" si="7"/>
        <v>WENDY KUM CHIOU SZE</v>
      </c>
      <c r="AB36" s="53">
        <v>4</v>
      </c>
      <c r="AC36" s="55">
        <f t="shared" si="8"/>
        <v>9921.69</v>
      </c>
      <c r="AD36" s="55">
        <v>39686.76</v>
      </c>
      <c r="AE36" s="55" t="str">
        <f t="shared" si="9"/>
        <v>-</v>
      </c>
      <c r="AF36" s="56">
        <v>39686.76</v>
      </c>
      <c r="AG36" s="51" t="s">
        <v>72</v>
      </c>
      <c r="AH36" s="57" t="str">
        <f>"HONG ZHIYANG_x000D_KK WOMEN'S AND CHILDREN'S HOSPITAL 100 BUKIT TIMAH ROAD, WT, CSSU, BASEMENT 1 SINGAPORE 229899_x000D_HONG ZHIYANG_x000D_TEL: 63941950_x000D_FAX: _x000D_EMAIL:"</f>
        <v>HONG ZHIYANG_x000D_KK WOMEN'S AND CHILDREN'S HOSPITAL 100 BUKIT TIMAH ROAD, WT, CSSU, BASEMENT 1 SINGAPORE 229899_x000D_HONG ZHIYANG_x000D_TEL: 63941950_x000D_FAX: _x000D_EMAIL:</v>
      </c>
      <c r="AI36" s="58" t="s">
        <v>73</v>
      </c>
      <c r="AJ36" s="58" t="s">
        <v>74</v>
      </c>
      <c r="AK36" s="50" t="str">
        <f>"MS7JQ-00355GLP"</f>
        <v>MS7JQ-00355GLP</v>
      </c>
      <c r="AL36" s="50" t="str">
        <f>"MS SQL SERVER ENTERPRISE CORE SLNG SA 2L"</f>
        <v>MS SQL SERVER ENTERPRISE CORE SLNG SA 2L</v>
      </c>
      <c r="AM36" s="50" t="s">
        <v>510</v>
      </c>
      <c r="AN36" s="50" t="s">
        <v>511</v>
      </c>
      <c r="AO36" s="50" t="s">
        <v>512</v>
      </c>
      <c r="AP36" s="50" t="s">
        <v>516</v>
      </c>
    </row>
    <row r="37" spans="1:45" s="9" customFormat="1">
      <c r="A37" s="48"/>
      <c r="B37" s="48"/>
      <c r="I37" s="49"/>
      <c r="K37" s="50">
        <f t="shared" si="0"/>
        <v>12</v>
      </c>
      <c r="L37" s="50">
        <f t="shared" si="4"/>
        <v>2024</v>
      </c>
      <c r="M37" s="50">
        <v>33037390</v>
      </c>
      <c r="N37" s="51">
        <v>45643</v>
      </c>
      <c r="O37" s="50" t="str">
        <f t="shared" si="5"/>
        <v>S7138270</v>
      </c>
      <c r="P37" s="50" t="str">
        <f>"B1EFBA40"</f>
        <v>B1EFBA40</v>
      </c>
      <c r="Q37" s="50"/>
      <c r="R37" s="50" t="str">
        <f>"CI1077-SGD"</f>
        <v>CI1077-SGD</v>
      </c>
      <c r="S37" s="50" t="str">
        <f>"KK WOMEN'S AND CHILDREN'S HOSPITAL"</f>
        <v>KK WOMEN'S AND CHILDREN'S HOSPITAL</v>
      </c>
      <c r="T37" s="50" t="str">
        <f>"9410267867"</f>
        <v>9410267867</v>
      </c>
      <c r="U37" s="52" t="str">
        <f>"954270"</f>
        <v>954270</v>
      </c>
      <c r="V37" s="52">
        <v>45639</v>
      </c>
      <c r="W37" s="52">
        <v>45643</v>
      </c>
      <c r="X37" s="53">
        <f t="shared" si="6"/>
        <v>4</v>
      </c>
      <c r="Y37" s="54" t="str">
        <f>"MS9EM-00260GLP"</f>
        <v>MS9EM-00260GLP</v>
      </c>
      <c r="Z37" s="54" t="str">
        <f>"MS WIN SERVER STANDARD CORE SLNG SA 16L"</f>
        <v>MS WIN SERVER STANDARD CORE SLNG SA 16L</v>
      </c>
      <c r="AA37" s="54" t="str">
        <f t="shared" si="7"/>
        <v>WENDY KUM CHIOU SZE</v>
      </c>
      <c r="AB37" s="53">
        <v>4</v>
      </c>
      <c r="AC37" s="55">
        <f t="shared" si="8"/>
        <v>700.38</v>
      </c>
      <c r="AD37" s="55">
        <v>2801.52</v>
      </c>
      <c r="AE37" s="55" t="str">
        <f t="shared" si="9"/>
        <v>-</v>
      </c>
      <c r="AF37" s="56">
        <v>2801.52</v>
      </c>
      <c r="AG37" s="51" t="s">
        <v>72</v>
      </c>
      <c r="AH37" s="57" t="str">
        <f>"HONG ZHIYANG_x000D_KK WOMEN'S AND CHILDREN'S HOSPITAL 100 BUKIT TIMAH ROAD, WT, CSSU, BASEMENT 1 SINGAPORE 229899_x000D_HONG ZHIYANG_x000D_TEL: 63941950_x000D_FAX: _x000D_EMAIL:"</f>
        <v>HONG ZHIYANG_x000D_KK WOMEN'S AND CHILDREN'S HOSPITAL 100 BUKIT TIMAH ROAD, WT, CSSU, BASEMENT 1 SINGAPORE 229899_x000D_HONG ZHIYANG_x000D_TEL: 63941950_x000D_FAX: _x000D_EMAIL:</v>
      </c>
      <c r="AI37" s="58" t="s">
        <v>73</v>
      </c>
      <c r="AJ37" s="58" t="s">
        <v>74</v>
      </c>
      <c r="AK37" s="50" t="str">
        <f>"MS9EM-00260GLP"</f>
        <v>MS9EM-00260GLP</v>
      </c>
      <c r="AL37" s="50" t="str">
        <f>"MS WIN SERVER STANDARD CORE SLNG SA 16L"</f>
        <v>MS WIN SERVER STANDARD CORE SLNG SA 16L</v>
      </c>
      <c r="AM37" s="50" t="s">
        <v>510</v>
      </c>
      <c r="AN37" s="50" t="s">
        <v>511</v>
      </c>
      <c r="AO37" s="50" t="s">
        <v>512</v>
      </c>
      <c r="AP37" s="50" t="s">
        <v>516</v>
      </c>
    </row>
    <row r="38" spans="1:45" s="9" customFormat="1">
      <c r="A38" s="48"/>
      <c r="B38" s="48"/>
      <c r="I38" s="49"/>
      <c r="K38" s="50">
        <f t="shared" si="0"/>
        <v>12</v>
      </c>
      <c r="L38" s="50">
        <f t="shared" si="4"/>
        <v>2024</v>
      </c>
      <c r="M38" s="50">
        <v>33037474</v>
      </c>
      <c r="N38" s="51">
        <v>45652</v>
      </c>
      <c r="O38" s="50" t="str">
        <f t="shared" si="5"/>
        <v>S7138270</v>
      </c>
      <c r="P38" s="50" t="str">
        <f>"868CE4DB"</f>
        <v>868CE4DB</v>
      </c>
      <c r="Q38" s="50"/>
      <c r="R38" s="50" t="str">
        <f>"CI1209-SGD"</f>
        <v>CI1209-SGD</v>
      </c>
      <c r="S38" s="50" t="str">
        <f>"SINGHEALTH POLYCLINICS"</f>
        <v>SINGHEALTH POLYCLINICS</v>
      </c>
      <c r="T38" s="50" t="str">
        <f>"9024400063"</f>
        <v>9024400063</v>
      </c>
      <c r="U38" s="52" t="str">
        <f>"954450"</f>
        <v>954450</v>
      </c>
      <c r="V38" s="52">
        <v>45649</v>
      </c>
      <c r="W38" s="52">
        <v>45652</v>
      </c>
      <c r="X38" s="53">
        <f t="shared" si="6"/>
        <v>3</v>
      </c>
      <c r="Y38" s="54" t="str">
        <f>"MS7JQ-00355GLP"</f>
        <v>MS7JQ-00355GLP</v>
      </c>
      <c r="Z38" s="54" t="str">
        <f>"MS SQL SERVER ENTERPRISE CORE SLNG SA 2L"</f>
        <v>MS SQL SERVER ENTERPRISE CORE SLNG SA 2L</v>
      </c>
      <c r="AA38" s="54" t="str">
        <f t="shared" si="7"/>
        <v>WENDY KUM CHIOU SZE</v>
      </c>
      <c r="AB38" s="53">
        <v>5</v>
      </c>
      <c r="AC38" s="55">
        <f t="shared" si="8"/>
        <v>9905.77</v>
      </c>
      <c r="AD38" s="55">
        <v>49528.85</v>
      </c>
      <c r="AE38" s="55" t="str">
        <f t="shared" si="9"/>
        <v>-</v>
      </c>
      <c r="AF38" s="56">
        <v>49528.85</v>
      </c>
      <c r="AG38" s="51" t="s">
        <v>72</v>
      </c>
      <c r="AH38" s="57" t="str">
        <f>"SINGHEALTH POLYCLINICS - HQ_x000D_167 JALAN BUKIT MERAH, TOWER 5,_x000D_#15-10, CONNECTION ONE,_x000D_SINGAPORE 150167_x000D_VICTOR WONG/ CHRISTINA LIM_x000D_62749901 / 63507445"</f>
        <v>SINGHEALTH POLYCLINICS - HQ_x000D_167 JALAN BUKIT MERAH, TOWER 5,_x000D_#15-10, CONNECTION ONE,_x000D_SINGAPORE 150167_x000D_VICTOR WONG/ CHRISTINA LIM_x000D_62749901 / 63507445</v>
      </c>
      <c r="AI38" s="58" t="s">
        <v>73</v>
      </c>
      <c r="AJ38" s="58" t="s">
        <v>74</v>
      </c>
      <c r="AK38" s="50" t="str">
        <f>"MS7JQ-00355GLP"</f>
        <v>MS7JQ-00355GLP</v>
      </c>
      <c r="AL38" s="50" t="str">
        <f>"MS SQL SERVER ENTERPRISE CORE SLNG SA 2L"</f>
        <v>MS SQL SERVER ENTERPRISE CORE SLNG SA 2L</v>
      </c>
      <c r="AM38" s="50" t="s">
        <v>510</v>
      </c>
      <c r="AN38" s="50" t="s">
        <v>511</v>
      </c>
      <c r="AO38" s="50" t="s">
        <v>512</v>
      </c>
      <c r="AP38" s="50" t="s">
        <v>516</v>
      </c>
    </row>
    <row r="39" spans="1:45" s="9" customFormat="1">
      <c r="A39" s="48"/>
      <c r="B39" s="48"/>
      <c r="I39" s="49"/>
      <c r="K39" s="50">
        <f t="shared" si="0"/>
        <v>12</v>
      </c>
      <c r="L39" s="50">
        <f t="shared" si="4"/>
        <v>2024</v>
      </c>
      <c r="M39" s="50">
        <v>33037474</v>
      </c>
      <c r="N39" s="51">
        <v>45652</v>
      </c>
      <c r="O39" s="50" t="str">
        <f t="shared" si="5"/>
        <v>S7138270</v>
      </c>
      <c r="P39" s="50" t="str">
        <f>"868CE4DB"</f>
        <v>868CE4DB</v>
      </c>
      <c r="Q39" s="50"/>
      <c r="R39" s="50" t="str">
        <f>"CI1209-SGD"</f>
        <v>CI1209-SGD</v>
      </c>
      <c r="S39" s="50" t="str">
        <f>"SINGHEALTH POLYCLINICS"</f>
        <v>SINGHEALTH POLYCLINICS</v>
      </c>
      <c r="T39" s="50" t="str">
        <f>"9024400063"</f>
        <v>9024400063</v>
      </c>
      <c r="U39" s="52" t="str">
        <f>"954450"</f>
        <v>954450</v>
      </c>
      <c r="V39" s="52">
        <v>45649</v>
      </c>
      <c r="W39" s="52">
        <v>45652</v>
      </c>
      <c r="X39" s="53">
        <f t="shared" si="6"/>
        <v>3</v>
      </c>
      <c r="Y39" s="54" t="str">
        <f>"MS7JQ-00355GLP"</f>
        <v>MS7JQ-00355GLP</v>
      </c>
      <c r="Z39" s="54" t="str">
        <f>"MS SQL SERVER ENTERPRISE CORE SLNG SA 2L"</f>
        <v>MS SQL SERVER ENTERPRISE CORE SLNG SA 2L</v>
      </c>
      <c r="AA39" s="54" t="str">
        <f t="shared" si="7"/>
        <v>WENDY KUM CHIOU SZE</v>
      </c>
      <c r="AB39" s="53">
        <v>1</v>
      </c>
      <c r="AC39" s="55">
        <f t="shared" si="8"/>
        <v>9905.75</v>
      </c>
      <c r="AD39" s="55">
        <v>9905.75</v>
      </c>
      <c r="AE39" s="55" t="str">
        <f t="shared" si="9"/>
        <v>-</v>
      </c>
      <c r="AF39" s="56">
        <v>9905.75</v>
      </c>
      <c r="AG39" s="51" t="s">
        <v>72</v>
      </c>
      <c r="AH39" s="57" t="str">
        <f>"SINGHEALTH POLYCLINICS - HQ_x000D_167 JALAN BUKIT MERAH, TOWER 5,_x000D_#15-10, CONNECTION ONE,_x000D_SINGAPORE 150167_x000D_VICTOR WONG/ CHRISTINA LIM_x000D_62749901 / 63507445"</f>
        <v>SINGHEALTH POLYCLINICS - HQ_x000D_167 JALAN BUKIT MERAH, TOWER 5,_x000D_#15-10, CONNECTION ONE,_x000D_SINGAPORE 150167_x000D_VICTOR WONG/ CHRISTINA LIM_x000D_62749901 / 63507445</v>
      </c>
      <c r="AI39" s="58" t="s">
        <v>73</v>
      </c>
      <c r="AJ39" s="58" t="s">
        <v>74</v>
      </c>
      <c r="AK39" s="50" t="str">
        <f>"MS7JQ-00355GLP"</f>
        <v>MS7JQ-00355GLP</v>
      </c>
      <c r="AL39" s="50" t="str">
        <f>"MS SQL SERVER ENTERPRISE CORE SLNG SA 2L"</f>
        <v>MS SQL SERVER ENTERPRISE CORE SLNG SA 2L</v>
      </c>
      <c r="AM39" s="50" t="s">
        <v>510</v>
      </c>
      <c r="AN39" s="50" t="s">
        <v>511</v>
      </c>
      <c r="AO39" s="50" t="s">
        <v>512</v>
      </c>
      <c r="AP39" s="50" t="s">
        <v>516</v>
      </c>
    </row>
  </sheetData>
  <mergeCells count="1">
    <mergeCell ref="K21:AA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17852-5CFC-4F6B-A694-0A65C14A8F52}">
  <dimension ref="A1:B8"/>
  <sheetViews>
    <sheetView topLeftCell="B2" workbookViewId="0">
      <selection activeCell="B8" sqref="B8"/>
    </sheetView>
  </sheetViews>
  <sheetFormatPr defaultRowHeight="15"/>
  <cols>
    <col min="1" max="1" width="8.85546875" hidden="1" customWidth="1"/>
    <col min="2" max="2" width="13.42578125" customWidth="1"/>
  </cols>
  <sheetData>
    <row r="1" spans="1:2" hidden="1">
      <c r="A1" t="s">
        <v>76</v>
      </c>
    </row>
    <row r="5" spans="1:2">
      <c r="B5" s="18" t="s">
        <v>75</v>
      </c>
    </row>
    <row r="7" spans="1:2">
      <c r="B7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8" spans="1:2">
      <c r="B8" s="4" t="str">
        <f>"'CS0085-SGD','CI1238-SGD','CI1190-SGD','CS0086-SGD','CS0507-SGD','CS0507-SGD','CI1261-SGD','CS0085-SGD','CC0128-SGD','CS0222-SGD','CS0226-SGD','CS0653-SGD','CI1277-SGD','CB0059-SGD''CS0678-SGD','CS0653-SGD','CS0276-SGD','CS0200-SGD'"</f>
        <v>'CS0085-SGD','CI1238-SGD','CI1190-SGD','CS0086-SGD','CS0507-SGD','CS0507-SGD','CI1261-SGD','CS0085-SGD','CC0128-SGD','CS0222-SGD','CS0226-SGD','CS0653-SGD','CI1277-SGD','CB0059-SGD''CS0678-SGD','CS0653-SGD','CS0276-SGD','CS0200-SGD'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D020C-E21E-4C78-8DE7-07398900ACA9}">
  <dimension ref="A1:E30"/>
  <sheetViews>
    <sheetView workbookViewId="0"/>
  </sheetViews>
  <sheetFormatPr defaultRowHeight="15"/>
  <sheetData>
    <row r="1" spans="1:5">
      <c r="A1" s="19" t="s">
        <v>87</v>
      </c>
      <c r="B1" s="19" t="s">
        <v>1</v>
      </c>
      <c r="C1" s="19" t="s">
        <v>2</v>
      </c>
      <c r="D1" s="19" t="s">
        <v>3</v>
      </c>
    </row>
    <row r="2" spans="1:5">
      <c r="B2" s="19" t="s">
        <v>18</v>
      </c>
      <c r="C2" s="19" t="s">
        <v>4</v>
      </c>
    </row>
    <row r="3" spans="1:5">
      <c r="A3" s="19" t="s">
        <v>0</v>
      </c>
      <c r="B3" s="19" t="s">
        <v>5</v>
      </c>
      <c r="C3" s="19" t="s">
        <v>224</v>
      </c>
    </row>
    <row r="4" spans="1:5">
      <c r="A4" s="19" t="s">
        <v>0</v>
      </c>
      <c r="B4" s="19" t="s">
        <v>6</v>
      </c>
      <c r="C4" s="19" t="s">
        <v>225</v>
      </c>
    </row>
    <row r="5" spans="1:5">
      <c r="A5" s="19" t="s">
        <v>0</v>
      </c>
      <c r="B5" s="19" t="s">
        <v>25</v>
      </c>
      <c r="C5" s="19" t="s">
        <v>77</v>
      </c>
      <c r="D5" s="19" t="s">
        <v>78</v>
      </c>
      <c r="E5" s="19" t="s">
        <v>51</v>
      </c>
    </row>
    <row r="8" spans="1:5">
      <c r="A8" s="19" t="s">
        <v>8</v>
      </c>
      <c r="C8" s="19" t="s">
        <v>79</v>
      </c>
    </row>
    <row r="9" spans="1:5">
      <c r="A9" s="19" t="s">
        <v>9</v>
      </c>
      <c r="C9" s="19" t="s">
        <v>80</v>
      </c>
    </row>
    <row r="10" spans="1:5">
      <c r="B10" s="19" t="s">
        <v>37</v>
      </c>
      <c r="C10" s="19" t="s">
        <v>81</v>
      </c>
    </row>
    <row r="11" spans="1:5">
      <c r="B11" s="19" t="s">
        <v>35</v>
      </c>
      <c r="C11" s="19" t="s">
        <v>81</v>
      </c>
    </row>
    <row r="12" spans="1:5">
      <c r="B12" s="19" t="s">
        <v>38</v>
      </c>
      <c r="C12" s="19" t="s">
        <v>82</v>
      </c>
    </row>
    <row r="13" spans="1:5">
      <c r="B13" s="19" t="s">
        <v>39</v>
      </c>
      <c r="C13" s="19" t="s">
        <v>83</v>
      </c>
      <c r="D13" s="19" t="s">
        <v>84</v>
      </c>
    </row>
    <row r="14" spans="1:5">
      <c r="D14" s="19" t="s">
        <v>85</v>
      </c>
    </row>
    <row r="15" spans="1:5">
      <c r="D15" s="19" t="s">
        <v>52</v>
      </c>
    </row>
    <row r="28" spans="3:4">
      <c r="C28" s="19" t="s">
        <v>53</v>
      </c>
      <c r="D28" s="19" t="s">
        <v>52</v>
      </c>
    </row>
    <row r="29" spans="3:4">
      <c r="D29" s="19" t="s">
        <v>84</v>
      </c>
    </row>
    <row r="30" spans="3:4">
      <c r="D30" s="19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3A4F6-AA5C-4E59-8238-82855A73E5FE}">
  <dimension ref="A1:E30"/>
  <sheetViews>
    <sheetView workbookViewId="0"/>
  </sheetViews>
  <sheetFormatPr defaultRowHeight="15"/>
  <sheetData>
    <row r="1" spans="1:5">
      <c r="A1" s="19" t="s">
        <v>87</v>
      </c>
      <c r="B1" s="19" t="s">
        <v>1</v>
      </c>
      <c r="C1" s="19" t="s">
        <v>2</v>
      </c>
      <c r="D1" s="19" t="s">
        <v>3</v>
      </c>
    </row>
    <row r="2" spans="1:5">
      <c r="B2" s="19" t="s">
        <v>18</v>
      </c>
      <c r="C2" s="19" t="s">
        <v>4</v>
      </c>
    </row>
    <row r="3" spans="1:5">
      <c r="A3" s="19" t="s">
        <v>0</v>
      </c>
      <c r="B3" s="19" t="s">
        <v>5</v>
      </c>
      <c r="C3" s="19" t="s">
        <v>224</v>
      </c>
    </row>
    <row r="4" spans="1:5">
      <c r="A4" s="19" t="s">
        <v>0</v>
      </c>
      <c r="B4" s="19" t="s">
        <v>6</v>
      </c>
      <c r="C4" s="19" t="s">
        <v>225</v>
      </c>
    </row>
    <row r="5" spans="1:5">
      <c r="A5" s="19" t="s">
        <v>0</v>
      </c>
      <c r="B5" s="19" t="s">
        <v>25</v>
      </c>
      <c r="C5" s="19" t="s">
        <v>77</v>
      </c>
      <c r="D5" s="19" t="s">
        <v>78</v>
      </c>
      <c r="E5" s="19" t="s">
        <v>51</v>
      </c>
    </row>
    <row r="8" spans="1:5">
      <c r="A8" s="19" t="s">
        <v>8</v>
      </c>
      <c r="C8" s="19" t="s">
        <v>79</v>
      </c>
    </row>
    <row r="9" spans="1:5">
      <c r="A9" s="19" t="s">
        <v>9</v>
      </c>
      <c r="C9" s="19" t="s">
        <v>80</v>
      </c>
    </row>
    <row r="10" spans="1:5">
      <c r="B10" s="19" t="s">
        <v>37</v>
      </c>
      <c r="C10" s="19" t="s">
        <v>81</v>
      </c>
    </row>
    <row r="11" spans="1:5">
      <c r="B11" s="19" t="s">
        <v>35</v>
      </c>
      <c r="C11" s="19" t="s">
        <v>81</v>
      </c>
    </row>
    <row r="12" spans="1:5">
      <c r="B12" s="19" t="s">
        <v>38</v>
      </c>
      <c r="C12" s="19" t="s">
        <v>82</v>
      </c>
    </row>
    <row r="13" spans="1:5">
      <c r="B13" s="19" t="s">
        <v>39</v>
      </c>
      <c r="C13" s="19" t="s">
        <v>83</v>
      </c>
      <c r="D13" s="19" t="s">
        <v>84</v>
      </c>
    </row>
    <row r="14" spans="1:5">
      <c r="D14" s="19" t="s">
        <v>85</v>
      </c>
    </row>
    <row r="15" spans="1:5">
      <c r="D15" s="19" t="s">
        <v>52</v>
      </c>
    </row>
    <row r="28" spans="3:4">
      <c r="C28" s="19" t="s">
        <v>53</v>
      </c>
      <c r="D28" s="19" t="s">
        <v>52</v>
      </c>
    </row>
    <row r="29" spans="3:4">
      <c r="D29" s="19" t="s">
        <v>84</v>
      </c>
    </row>
    <row r="30" spans="3:4">
      <c r="D30" s="19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4E420-1081-4367-8712-55FB380D588C}">
  <dimension ref="A1:AP28"/>
  <sheetViews>
    <sheetView workbookViewId="0"/>
  </sheetViews>
  <sheetFormatPr defaultRowHeight="15"/>
  <sheetData>
    <row r="1" spans="1:35">
      <c r="A1" s="19" t="s">
        <v>165</v>
      </c>
      <c r="B1" s="19" t="s">
        <v>41</v>
      </c>
      <c r="C1" s="19" t="s">
        <v>7</v>
      </c>
      <c r="D1" s="19" t="s">
        <v>7</v>
      </c>
      <c r="E1" s="19" t="s">
        <v>7</v>
      </c>
      <c r="F1" s="19" t="s">
        <v>7</v>
      </c>
      <c r="G1" s="19" t="s">
        <v>7</v>
      </c>
      <c r="H1" s="19" t="s">
        <v>7</v>
      </c>
      <c r="I1" s="19" t="s">
        <v>7</v>
      </c>
      <c r="J1" s="19" t="s">
        <v>48</v>
      </c>
      <c r="K1" s="19" t="s">
        <v>17</v>
      </c>
      <c r="L1" s="19" t="s">
        <v>17</v>
      </c>
      <c r="M1" s="19" t="s">
        <v>17</v>
      </c>
      <c r="N1" s="19" t="s">
        <v>17</v>
      </c>
      <c r="O1" s="19" t="s">
        <v>17</v>
      </c>
      <c r="P1" s="19" t="s">
        <v>17</v>
      </c>
      <c r="Q1" s="19" t="s">
        <v>17</v>
      </c>
      <c r="R1" s="19" t="s">
        <v>17</v>
      </c>
      <c r="S1" s="19" t="s">
        <v>17</v>
      </c>
      <c r="T1" s="19" t="s">
        <v>17</v>
      </c>
      <c r="V1" s="19" t="s">
        <v>17</v>
      </c>
      <c r="W1" s="19" t="s">
        <v>17</v>
      </c>
      <c r="X1" s="19" t="s">
        <v>17</v>
      </c>
      <c r="Y1" s="19" t="s">
        <v>7</v>
      </c>
      <c r="Z1" s="19" t="s">
        <v>7</v>
      </c>
      <c r="AA1" s="19" t="s">
        <v>17</v>
      </c>
      <c r="AB1" s="19" t="s">
        <v>17</v>
      </c>
      <c r="AC1" s="19" t="s">
        <v>17</v>
      </c>
      <c r="AH1" s="19" t="s">
        <v>7</v>
      </c>
      <c r="AI1" s="19" t="s">
        <v>7</v>
      </c>
    </row>
    <row r="2" spans="1:35">
      <c r="A2" s="19" t="s">
        <v>7</v>
      </c>
      <c r="D2" s="19" t="s">
        <v>18</v>
      </c>
      <c r="E2" s="19" t="s">
        <v>88</v>
      </c>
    </row>
    <row r="3" spans="1:35">
      <c r="A3" s="19" t="s">
        <v>7</v>
      </c>
      <c r="D3" s="19" t="s">
        <v>21</v>
      </c>
      <c r="E3" s="19" t="s">
        <v>19</v>
      </c>
      <c r="F3" s="19" t="s">
        <v>20</v>
      </c>
      <c r="G3" s="19" t="s">
        <v>22</v>
      </c>
      <c r="H3" s="19" t="s">
        <v>42</v>
      </c>
      <c r="I3" s="19" t="s">
        <v>23</v>
      </c>
    </row>
    <row r="4" spans="1:35">
      <c r="A4" s="19" t="s">
        <v>7</v>
      </c>
      <c r="C4" s="19" t="s">
        <v>11</v>
      </c>
      <c r="D4" s="19" t="s">
        <v>89</v>
      </c>
      <c r="E4" s="19" t="s">
        <v>90</v>
      </c>
      <c r="F4" s="19" t="s">
        <v>46</v>
      </c>
      <c r="G4" s="19" t="s">
        <v>24</v>
      </c>
      <c r="H4" s="19" t="s">
        <v>91</v>
      </c>
    </row>
    <row r="5" spans="1:35">
      <c r="A5" s="19" t="s">
        <v>7</v>
      </c>
      <c r="C5" s="19" t="s">
        <v>10</v>
      </c>
      <c r="D5" s="19" t="s">
        <v>92</v>
      </c>
      <c r="E5" s="19" t="s">
        <v>93</v>
      </c>
      <c r="F5" s="19" t="s">
        <v>47</v>
      </c>
      <c r="G5" s="19" t="s">
        <v>24</v>
      </c>
      <c r="H5" s="19" t="s">
        <v>91</v>
      </c>
      <c r="I5" s="19" t="s">
        <v>94</v>
      </c>
    </row>
    <row r="6" spans="1:35">
      <c r="A6" s="19" t="s">
        <v>7</v>
      </c>
      <c r="C6" s="19" t="s">
        <v>36</v>
      </c>
      <c r="D6" s="19" t="s">
        <v>95</v>
      </c>
      <c r="E6" s="19" t="s">
        <v>96</v>
      </c>
      <c r="F6" s="19" t="s">
        <v>47</v>
      </c>
      <c r="G6" s="19" t="s">
        <v>24</v>
      </c>
      <c r="H6" s="19" t="s">
        <v>91</v>
      </c>
      <c r="I6" s="19" t="s">
        <v>97</v>
      </c>
    </row>
    <row r="7" spans="1:35">
      <c r="A7" s="19" t="s">
        <v>7</v>
      </c>
    </row>
    <row r="8" spans="1:35">
      <c r="A8" s="19" t="s">
        <v>7</v>
      </c>
    </row>
    <row r="9" spans="1:35">
      <c r="A9" s="19" t="s">
        <v>7</v>
      </c>
    </row>
    <row r="10" spans="1:35">
      <c r="A10" s="19" t="s">
        <v>7</v>
      </c>
    </row>
    <row r="11" spans="1:35">
      <c r="A11" s="19" t="s">
        <v>7</v>
      </c>
      <c r="C11" s="19" t="s">
        <v>26</v>
      </c>
      <c r="E11" s="19" t="s">
        <v>98</v>
      </c>
    </row>
    <row r="12" spans="1:35">
      <c r="A12" s="19" t="s">
        <v>7</v>
      </c>
      <c r="C12" s="19" t="s">
        <v>27</v>
      </c>
      <c r="E12" s="19" t="s">
        <v>99</v>
      </c>
    </row>
    <row r="13" spans="1:35">
      <c r="A13" s="19" t="s">
        <v>7</v>
      </c>
      <c r="C13" s="19" t="s">
        <v>37</v>
      </c>
      <c r="E13" s="19" t="s">
        <v>100</v>
      </c>
    </row>
    <row r="14" spans="1:35">
      <c r="A14" s="19" t="s">
        <v>7</v>
      </c>
      <c r="C14" s="19" t="s">
        <v>35</v>
      </c>
      <c r="E14" s="19" t="s">
        <v>101</v>
      </c>
    </row>
    <row r="15" spans="1:35">
      <c r="A15" s="19" t="s">
        <v>7</v>
      </c>
      <c r="C15" s="19" t="s">
        <v>38</v>
      </c>
      <c r="E15" s="19" t="s">
        <v>102</v>
      </c>
    </row>
    <row r="16" spans="1:35">
      <c r="A16" s="19" t="s">
        <v>7</v>
      </c>
      <c r="C16" s="19" t="s">
        <v>39</v>
      </c>
      <c r="E16" s="19" t="s">
        <v>103</v>
      </c>
    </row>
    <row r="17" spans="1:42">
      <c r="A17" s="19" t="s">
        <v>7</v>
      </c>
    </row>
    <row r="18" spans="1:42">
      <c r="A18" s="19" t="s">
        <v>7</v>
      </c>
    </row>
    <row r="21" spans="1:42">
      <c r="K21" s="19" t="s">
        <v>40</v>
      </c>
    </row>
    <row r="23" spans="1:42">
      <c r="E23" s="19" t="s">
        <v>28</v>
      </c>
      <c r="K23" s="19" t="s">
        <v>54</v>
      </c>
      <c r="L23" s="19" t="s">
        <v>55</v>
      </c>
      <c r="M23" s="19" t="s">
        <v>14</v>
      </c>
      <c r="N23" s="19" t="s">
        <v>15</v>
      </c>
      <c r="O23" s="19" t="s">
        <v>29</v>
      </c>
      <c r="P23" s="19" t="s">
        <v>56</v>
      </c>
      <c r="Q23" s="19" t="s">
        <v>57</v>
      </c>
      <c r="R23" s="19" t="s">
        <v>30</v>
      </c>
      <c r="S23" s="19" t="s">
        <v>34</v>
      </c>
      <c r="T23" s="19" t="s">
        <v>32</v>
      </c>
      <c r="U23" s="19" t="s">
        <v>223</v>
      </c>
      <c r="V23" s="19" t="s">
        <v>16</v>
      </c>
      <c r="W23" s="19" t="s">
        <v>58</v>
      </c>
      <c r="X23" s="19" t="s">
        <v>59</v>
      </c>
      <c r="Y23" s="19" t="s">
        <v>33</v>
      </c>
      <c r="Z23" s="19" t="s">
        <v>12</v>
      </c>
      <c r="AA23" s="19" t="s">
        <v>31</v>
      </c>
      <c r="AB23" s="19" t="s">
        <v>13</v>
      </c>
      <c r="AC23" s="19" t="s">
        <v>49</v>
      </c>
      <c r="AD23" s="19" t="s">
        <v>50</v>
      </c>
      <c r="AE23" s="19" t="s">
        <v>60</v>
      </c>
      <c r="AF23" s="19" t="s">
        <v>61</v>
      </c>
      <c r="AG23" s="19" t="s">
        <v>62</v>
      </c>
      <c r="AH23" s="19" t="s">
        <v>63</v>
      </c>
      <c r="AI23" s="19" t="s">
        <v>64</v>
      </c>
      <c r="AJ23" s="19" t="s">
        <v>65</v>
      </c>
      <c r="AK23" s="19" t="s">
        <v>66</v>
      </c>
      <c r="AL23" s="19" t="s">
        <v>67</v>
      </c>
      <c r="AM23" s="19" t="s">
        <v>68</v>
      </c>
      <c r="AN23" s="19" t="s">
        <v>69</v>
      </c>
      <c r="AO23" s="19" t="s">
        <v>70</v>
      </c>
      <c r="AP23" s="19" t="s">
        <v>71</v>
      </c>
    </row>
    <row r="24" spans="1:42">
      <c r="B24" s="19" t="s">
        <v>104</v>
      </c>
      <c r="C24" s="19" t="s">
        <v>43</v>
      </c>
      <c r="E24" s="19" t="s">
        <v>105</v>
      </c>
      <c r="K24" s="19" t="s">
        <v>106</v>
      </c>
      <c r="L24" s="19" t="s">
        <v>107</v>
      </c>
      <c r="M24" s="19" t="s">
        <v>108</v>
      </c>
      <c r="N24" s="19" t="s">
        <v>109</v>
      </c>
      <c r="O24" s="19" t="s">
        <v>110</v>
      </c>
      <c r="P24" s="19" t="s">
        <v>111</v>
      </c>
      <c r="R24" s="19" t="s">
        <v>112</v>
      </c>
      <c r="S24" s="19" t="s">
        <v>113</v>
      </c>
      <c r="T24" s="19" t="s">
        <v>114</v>
      </c>
      <c r="U24" s="19" t="s">
        <v>226</v>
      </c>
      <c r="V24" s="19" t="s">
        <v>115</v>
      </c>
      <c r="W24" s="19" t="s">
        <v>116</v>
      </c>
      <c r="X24" s="19" t="s">
        <v>227</v>
      </c>
      <c r="Y24" s="19" t="s">
        <v>117</v>
      </c>
      <c r="Z24" s="19" t="s">
        <v>118</v>
      </c>
      <c r="AA24" s="19" t="s">
        <v>119</v>
      </c>
      <c r="AB24" s="19" t="s">
        <v>120</v>
      </c>
      <c r="AC24" s="19" t="s">
        <v>228</v>
      </c>
      <c r="AD24" s="19" t="s">
        <v>121</v>
      </c>
      <c r="AE24" s="19" t="s">
        <v>122</v>
      </c>
      <c r="AF24" s="19" t="s">
        <v>121</v>
      </c>
      <c r="AG24" s="19" t="s">
        <v>72</v>
      </c>
      <c r="AH24" s="19" t="s">
        <v>123</v>
      </c>
      <c r="AI24" s="19" t="s">
        <v>73</v>
      </c>
      <c r="AJ24" s="19" t="s">
        <v>74</v>
      </c>
      <c r="AK24" s="19" t="s">
        <v>124</v>
      </c>
      <c r="AL24" s="19" t="s">
        <v>125</v>
      </c>
      <c r="AM24" s="19" t="s">
        <v>126</v>
      </c>
      <c r="AN24" s="19" t="s">
        <v>127</v>
      </c>
      <c r="AO24" s="19" t="s">
        <v>128</v>
      </c>
      <c r="AP24" s="19" t="s">
        <v>129</v>
      </c>
    </row>
    <row r="25" spans="1:42">
      <c r="B25" s="19" t="s">
        <v>130</v>
      </c>
      <c r="C25" s="19" t="s">
        <v>44</v>
      </c>
      <c r="E25" s="19" t="s">
        <v>131</v>
      </c>
      <c r="K25" s="19" t="s">
        <v>132</v>
      </c>
      <c r="L25" s="19" t="s">
        <v>133</v>
      </c>
      <c r="M25" s="19" t="s">
        <v>134</v>
      </c>
      <c r="N25" s="19" t="s">
        <v>135</v>
      </c>
      <c r="O25" s="19" t="s">
        <v>136</v>
      </c>
      <c r="P25" s="19" t="s">
        <v>137</v>
      </c>
      <c r="Q25" s="19" t="s">
        <v>138</v>
      </c>
      <c r="S25" s="19" t="s">
        <v>137</v>
      </c>
      <c r="T25" s="19" t="s">
        <v>139</v>
      </c>
      <c r="V25" s="19" t="s">
        <v>140</v>
      </c>
      <c r="W25" s="19" t="s">
        <v>141</v>
      </c>
      <c r="X25" s="19" t="s">
        <v>142</v>
      </c>
      <c r="Y25" s="19" t="s">
        <v>143</v>
      </c>
      <c r="Z25" s="19" t="s">
        <v>144</v>
      </c>
      <c r="AA25" s="19" t="s">
        <v>145</v>
      </c>
      <c r="AB25" s="19" t="s">
        <v>229</v>
      </c>
      <c r="AC25" s="19" t="s">
        <v>146</v>
      </c>
    </row>
    <row r="26" spans="1:42">
      <c r="B26" s="19" t="s">
        <v>147</v>
      </c>
      <c r="C26" s="19" t="s">
        <v>45</v>
      </c>
      <c r="E26" s="19" t="s">
        <v>148</v>
      </c>
      <c r="K26" s="19" t="s">
        <v>149</v>
      </c>
      <c r="L26" s="19" t="s">
        <v>150</v>
      </c>
      <c r="M26" s="19" t="s">
        <v>151</v>
      </c>
      <c r="N26" s="19" t="s">
        <v>152</v>
      </c>
      <c r="O26" s="19" t="s">
        <v>153</v>
      </c>
      <c r="P26" s="19" t="s">
        <v>154</v>
      </c>
      <c r="Q26" s="19" t="s">
        <v>155</v>
      </c>
      <c r="S26" s="19" t="s">
        <v>154</v>
      </c>
      <c r="T26" s="19" t="s">
        <v>156</v>
      </c>
      <c r="V26" s="19" t="s">
        <v>157</v>
      </c>
      <c r="W26" s="19" t="s">
        <v>158</v>
      </c>
      <c r="X26" s="19" t="s">
        <v>159</v>
      </c>
      <c r="Y26" s="19" t="s">
        <v>160</v>
      </c>
      <c r="Z26" s="19" t="s">
        <v>161</v>
      </c>
      <c r="AA26" s="19" t="s">
        <v>162</v>
      </c>
      <c r="AB26" s="19" t="s">
        <v>230</v>
      </c>
      <c r="AC26" s="19" t="s">
        <v>163</v>
      </c>
    </row>
    <row r="28" spans="1:42">
      <c r="AB28" s="19" t="s">
        <v>164</v>
      </c>
      <c r="AC28" s="19" t="s">
        <v>231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2CB93-2164-433E-854C-129B21A97D81}">
  <dimension ref="A1:AP28"/>
  <sheetViews>
    <sheetView workbookViewId="0"/>
  </sheetViews>
  <sheetFormatPr defaultRowHeight="15"/>
  <sheetData>
    <row r="1" spans="1:35">
      <c r="A1" s="19" t="s">
        <v>165</v>
      </c>
      <c r="B1" s="19" t="s">
        <v>41</v>
      </c>
      <c r="C1" s="19" t="s">
        <v>7</v>
      </c>
      <c r="D1" s="19" t="s">
        <v>7</v>
      </c>
      <c r="E1" s="19" t="s">
        <v>7</v>
      </c>
      <c r="F1" s="19" t="s">
        <v>7</v>
      </c>
      <c r="G1" s="19" t="s">
        <v>7</v>
      </c>
      <c r="H1" s="19" t="s">
        <v>7</v>
      </c>
      <c r="I1" s="19" t="s">
        <v>7</v>
      </c>
      <c r="J1" s="19" t="s">
        <v>48</v>
      </c>
      <c r="K1" s="19" t="s">
        <v>17</v>
      </c>
      <c r="L1" s="19" t="s">
        <v>17</v>
      </c>
      <c r="M1" s="19" t="s">
        <v>17</v>
      </c>
      <c r="N1" s="19" t="s">
        <v>17</v>
      </c>
      <c r="O1" s="19" t="s">
        <v>17</v>
      </c>
      <c r="P1" s="19" t="s">
        <v>17</v>
      </c>
      <c r="Q1" s="19" t="s">
        <v>17</v>
      </c>
      <c r="R1" s="19" t="s">
        <v>17</v>
      </c>
      <c r="S1" s="19" t="s">
        <v>17</v>
      </c>
      <c r="T1" s="19" t="s">
        <v>17</v>
      </c>
      <c r="V1" s="19" t="s">
        <v>17</v>
      </c>
      <c r="W1" s="19" t="s">
        <v>17</v>
      </c>
      <c r="X1" s="19" t="s">
        <v>17</v>
      </c>
      <c r="Y1" s="19" t="s">
        <v>7</v>
      </c>
      <c r="Z1" s="19" t="s">
        <v>7</v>
      </c>
      <c r="AA1" s="19" t="s">
        <v>17</v>
      </c>
      <c r="AB1" s="19" t="s">
        <v>17</v>
      </c>
      <c r="AC1" s="19" t="s">
        <v>17</v>
      </c>
      <c r="AH1" s="19" t="s">
        <v>7</v>
      </c>
      <c r="AI1" s="19" t="s">
        <v>7</v>
      </c>
    </row>
    <row r="2" spans="1:35">
      <c r="A2" s="19" t="s">
        <v>7</v>
      </c>
      <c r="D2" s="19" t="s">
        <v>18</v>
      </c>
      <c r="E2" s="19" t="s">
        <v>88</v>
      </c>
    </row>
    <row r="3" spans="1:35">
      <c r="A3" s="19" t="s">
        <v>7</v>
      </c>
      <c r="D3" s="19" t="s">
        <v>21</v>
      </c>
      <c r="E3" s="19" t="s">
        <v>19</v>
      </c>
      <c r="F3" s="19" t="s">
        <v>20</v>
      </c>
      <c r="G3" s="19" t="s">
        <v>22</v>
      </c>
      <c r="H3" s="19" t="s">
        <v>42</v>
      </c>
      <c r="I3" s="19" t="s">
        <v>23</v>
      </c>
    </row>
    <row r="4" spans="1:35">
      <c r="A4" s="19" t="s">
        <v>7</v>
      </c>
      <c r="C4" s="19" t="s">
        <v>11</v>
      </c>
      <c r="D4" s="19" t="s">
        <v>89</v>
      </c>
      <c r="E4" s="19" t="s">
        <v>90</v>
      </c>
      <c r="F4" s="19" t="s">
        <v>46</v>
      </c>
      <c r="G4" s="19" t="s">
        <v>24</v>
      </c>
      <c r="H4" s="19" t="s">
        <v>91</v>
      </c>
    </row>
    <row r="5" spans="1:35">
      <c r="A5" s="19" t="s">
        <v>7</v>
      </c>
      <c r="C5" s="19" t="s">
        <v>10</v>
      </c>
      <c r="D5" s="19" t="s">
        <v>92</v>
      </c>
      <c r="E5" s="19" t="s">
        <v>93</v>
      </c>
      <c r="F5" s="19" t="s">
        <v>47</v>
      </c>
      <c r="G5" s="19" t="s">
        <v>24</v>
      </c>
      <c r="H5" s="19" t="s">
        <v>91</v>
      </c>
      <c r="I5" s="19" t="s">
        <v>94</v>
      </c>
    </row>
    <row r="6" spans="1:35">
      <c r="A6" s="19" t="s">
        <v>7</v>
      </c>
      <c r="C6" s="19" t="s">
        <v>36</v>
      </c>
      <c r="D6" s="19" t="s">
        <v>95</v>
      </c>
      <c r="E6" s="19" t="s">
        <v>96</v>
      </c>
      <c r="F6" s="19" t="s">
        <v>47</v>
      </c>
      <c r="G6" s="19" t="s">
        <v>24</v>
      </c>
      <c r="H6" s="19" t="s">
        <v>91</v>
      </c>
      <c r="I6" s="19" t="s">
        <v>97</v>
      </c>
    </row>
    <row r="7" spans="1:35">
      <c r="A7" s="19" t="s">
        <v>7</v>
      </c>
    </row>
    <row r="8" spans="1:35">
      <c r="A8" s="19" t="s">
        <v>7</v>
      </c>
    </row>
    <row r="9" spans="1:35">
      <c r="A9" s="19" t="s">
        <v>7</v>
      </c>
    </row>
    <row r="10" spans="1:35">
      <c r="A10" s="19" t="s">
        <v>7</v>
      </c>
    </row>
    <row r="11" spans="1:35">
      <c r="A11" s="19" t="s">
        <v>7</v>
      </c>
      <c r="C11" s="19" t="s">
        <v>26</v>
      </c>
      <c r="E11" s="19" t="s">
        <v>98</v>
      </c>
    </row>
    <row r="12" spans="1:35">
      <c r="A12" s="19" t="s">
        <v>7</v>
      </c>
      <c r="C12" s="19" t="s">
        <v>27</v>
      </c>
      <c r="E12" s="19" t="s">
        <v>99</v>
      </c>
    </row>
    <row r="13" spans="1:35">
      <c r="A13" s="19" t="s">
        <v>7</v>
      </c>
      <c r="C13" s="19" t="s">
        <v>37</v>
      </c>
      <c r="E13" s="19" t="s">
        <v>100</v>
      </c>
    </row>
    <row r="14" spans="1:35">
      <c r="A14" s="19" t="s">
        <v>7</v>
      </c>
      <c r="C14" s="19" t="s">
        <v>35</v>
      </c>
      <c r="E14" s="19" t="s">
        <v>101</v>
      </c>
    </row>
    <row r="15" spans="1:35">
      <c r="A15" s="19" t="s">
        <v>7</v>
      </c>
      <c r="C15" s="19" t="s">
        <v>38</v>
      </c>
      <c r="E15" s="19" t="s">
        <v>102</v>
      </c>
    </row>
    <row r="16" spans="1:35">
      <c r="A16" s="19" t="s">
        <v>7</v>
      </c>
      <c r="C16" s="19" t="s">
        <v>39</v>
      </c>
      <c r="E16" s="19" t="s">
        <v>103</v>
      </c>
    </row>
    <row r="17" spans="1:42">
      <c r="A17" s="19" t="s">
        <v>7</v>
      </c>
    </row>
    <row r="18" spans="1:42">
      <c r="A18" s="19" t="s">
        <v>7</v>
      </c>
    </row>
    <row r="21" spans="1:42">
      <c r="K21" s="19" t="s">
        <v>40</v>
      </c>
    </row>
    <row r="23" spans="1:42">
      <c r="E23" s="19" t="s">
        <v>28</v>
      </c>
      <c r="K23" s="19" t="s">
        <v>54</v>
      </c>
      <c r="L23" s="19" t="s">
        <v>55</v>
      </c>
      <c r="M23" s="19" t="s">
        <v>14</v>
      </c>
      <c r="N23" s="19" t="s">
        <v>15</v>
      </c>
      <c r="O23" s="19" t="s">
        <v>29</v>
      </c>
      <c r="P23" s="19" t="s">
        <v>56</v>
      </c>
      <c r="Q23" s="19" t="s">
        <v>57</v>
      </c>
      <c r="R23" s="19" t="s">
        <v>30</v>
      </c>
      <c r="S23" s="19" t="s">
        <v>34</v>
      </c>
      <c r="T23" s="19" t="s">
        <v>32</v>
      </c>
      <c r="U23" s="19" t="s">
        <v>223</v>
      </c>
      <c r="V23" s="19" t="s">
        <v>16</v>
      </c>
      <c r="W23" s="19" t="s">
        <v>58</v>
      </c>
      <c r="X23" s="19" t="s">
        <v>59</v>
      </c>
      <c r="Y23" s="19" t="s">
        <v>33</v>
      </c>
      <c r="Z23" s="19" t="s">
        <v>12</v>
      </c>
      <c r="AA23" s="19" t="s">
        <v>31</v>
      </c>
      <c r="AB23" s="19" t="s">
        <v>13</v>
      </c>
      <c r="AC23" s="19" t="s">
        <v>49</v>
      </c>
      <c r="AD23" s="19" t="s">
        <v>50</v>
      </c>
      <c r="AE23" s="19" t="s">
        <v>60</v>
      </c>
      <c r="AF23" s="19" t="s">
        <v>61</v>
      </c>
      <c r="AG23" s="19" t="s">
        <v>62</v>
      </c>
      <c r="AH23" s="19" t="s">
        <v>63</v>
      </c>
      <c r="AI23" s="19" t="s">
        <v>64</v>
      </c>
      <c r="AJ23" s="19" t="s">
        <v>65</v>
      </c>
      <c r="AK23" s="19" t="s">
        <v>66</v>
      </c>
      <c r="AL23" s="19" t="s">
        <v>67</v>
      </c>
      <c r="AM23" s="19" t="s">
        <v>68</v>
      </c>
      <c r="AN23" s="19" t="s">
        <v>69</v>
      </c>
      <c r="AO23" s="19" t="s">
        <v>70</v>
      </c>
      <c r="AP23" s="19" t="s">
        <v>71</v>
      </c>
    </row>
    <row r="24" spans="1:42">
      <c r="B24" s="19" t="s">
        <v>104</v>
      </c>
      <c r="C24" s="19" t="s">
        <v>43</v>
      </c>
      <c r="E24" s="19" t="s">
        <v>105</v>
      </c>
      <c r="K24" s="19" t="s">
        <v>106</v>
      </c>
      <c r="L24" s="19" t="s">
        <v>107</v>
      </c>
      <c r="M24" s="19" t="s">
        <v>108</v>
      </c>
      <c r="N24" s="19" t="s">
        <v>109</v>
      </c>
      <c r="O24" s="19" t="s">
        <v>110</v>
      </c>
      <c r="P24" s="19" t="s">
        <v>111</v>
      </c>
      <c r="R24" s="19" t="s">
        <v>112</v>
      </c>
      <c r="S24" s="19" t="s">
        <v>113</v>
      </c>
      <c r="T24" s="19" t="s">
        <v>114</v>
      </c>
      <c r="U24" s="19" t="s">
        <v>226</v>
      </c>
      <c r="V24" s="19" t="s">
        <v>115</v>
      </c>
      <c r="W24" s="19" t="s">
        <v>116</v>
      </c>
      <c r="X24" s="19" t="s">
        <v>227</v>
      </c>
      <c r="Y24" s="19" t="s">
        <v>117</v>
      </c>
      <c r="Z24" s="19" t="s">
        <v>118</v>
      </c>
      <c r="AA24" s="19" t="s">
        <v>119</v>
      </c>
      <c r="AB24" s="19" t="s">
        <v>120</v>
      </c>
      <c r="AC24" s="19" t="s">
        <v>228</v>
      </c>
      <c r="AD24" s="19" t="s">
        <v>121</v>
      </c>
      <c r="AE24" s="19" t="s">
        <v>122</v>
      </c>
      <c r="AF24" s="19" t="s">
        <v>121</v>
      </c>
      <c r="AG24" s="19" t="s">
        <v>72</v>
      </c>
      <c r="AH24" s="19" t="s">
        <v>123</v>
      </c>
      <c r="AI24" s="19" t="s">
        <v>73</v>
      </c>
      <c r="AJ24" s="19" t="s">
        <v>74</v>
      </c>
      <c r="AK24" s="19" t="s">
        <v>124</v>
      </c>
      <c r="AL24" s="19" t="s">
        <v>125</v>
      </c>
      <c r="AM24" s="19" t="s">
        <v>126</v>
      </c>
      <c r="AN24" s="19" t="s">
        <v>127</v>
      </c>
      <c r="AO24" s="19" t="s">
        <v>128</v>
      </c>
      <c r="AP24" s="19" t="s">
        <v>129</v>
      </c>
    </row>
    <row r="25" spans="1:42">
      <c r="B25" s="19" t="s">
        <v>130</v>
      </c>
      <c r="C25" s="19" t="s">
        <v>44</v>
      </c>
      <c r="E25" s="19" t="s">
        <v>131</v>
      </c>
      <c r="K25" s="19" t="s">
        <v>132</v>
      </c>
      <c r="L25" s="19" t="s">
        <v>133</v>
      </c>
      <c r="M25" s="19" t="s">
        <v>134</v>
      </c>
      <c r="N25" s="19" t="s">
        <v>135</v>
      </c>
      <c r="O25" s="19" t="s">
        <v>136</v>
      </c>
      <c r="P25" s="19" t="s">
        <v>137</v>
      </c>
      <c r="Q25" s="19" t="s">
        <v>138</v>
      </c>
      <c r="S25" s="19" t="s">
        <v>137</v>
      </c>
      <c r="T25" s="19" t="s">
        <v>139</v>
      </c>
      <c r="V25" s="19" t="s">
        <v>140</v>
      </c>
      <c r="W25" s="19" t="s">
        <v>141</v>
      </c>
      <c r="X25" s="19" t="s">
        <v>142</v>
      </c>
      <c r="Y25" s="19" t="s">
        <v>143</v>
      </c>
      <c r="Z25" s="19" t="s">
        <v>144</v>
      </c>
      <c r="AA25" s="19" t="s">
        <v>145</v>
      </c>
      <c r="AB25" s="19" t="s">
        <v>229</v>
      </c>
      <c r="AC25" s="19" t="s">
        <v>146</v>
      </c>
    </row>
    <row r="26" spans="1:42">
      <c r="B26" s="19" t="s">
        <v>147</v>
      </c>
      <c r="C26" s="19" t="s">
        <v>45</v>
      </c>
      <c r="E26" s="19" t="s">
        <v>148</v>
      </c>
      <c r="K26" s="19" t="s">
        <v>149</v>
      </c>
      <c r="L26" s="19" t="s">
        <v>150</v>
      </c>
      <c r="M26" s="19" t="s">
        <v>151</v>
      </c>
      <c r="N26" s="19" t="s">
        <v>152</v>
      </c>
      <c r="O26" s="19" t="s">
        <v>153</v>
      </c>
      <c r="P26" s="19" t="s">
        <v>154</v>
      </c>
      <c r="Q26" s="19" t="s">
        <v>155</v>
      </c>
      <c r="S26" s="19" t="s">
        <v>154</v>
      </c>
      <c r="T26" s="19" t="s">
        <v>156</v>
      </c>
      <c r="V26" s="19" t="s">
        <v>157</v>
      </c>
      <c r="W26" s="19" t="s">
        <v>158</v>
      </c>
      <c r="X26" s="19" t="s">
        <v>159</v>
      </c>
      <c r="Y26" s="19" t="s">
        <v>160</v>
      </c>
      <c r="Z26" s="19" t="s">
        <v>161</v>
      </c>
      <c r="AA26" s="19" t="s">
        <v>162</v>
      </c>
      <c r="AB26" s="19" t="s">
        <v>230</v>
      </c>
      <c r="AC26" s="19" t="s">
        <v>163</v>
      </c>
    </row>
    <row r="28" spans="1:42">
      <c r="AB28" s="19" t="s">
        <v>164</v>
      </c>
      <c r="AC28" s="19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39C39-8A82-453F-BA1E-50B98B6737CD}">
  <dimension ref="A1:E30"/>
  <sheetViews>
    <sheetView workbookViewId="0"/>
  </sheetViews>
  <sheetFormatPr defaultRowHeight="15"/>
  <sheetData>
    <row r="1" spans="1:5">
      <c r="A1" s="19" t="s">
        <v>168</v>
      </c>
      <c r="B1" s="19" t="s">
        <v>1</v>
      </c>
      <c r="C1" s="19" t="s">
        <v>2</v>
      </c>
      <c r="D1" s="19" t="s">
        <v>3</v>
      </c>
    </row>
    <row r="2" spans="1:5">
      <c r="B2" s="19" t="s">
        <v>18</v>
      </c>
      <c r="C2" s="19" t="s">
        <v>4</v>
      </c>
    </row>
    <row r="3" spans="1:5">
      <c r="A3" s="19" t="s">
        <v>0</v>
      </c>
      <c r="B3" s="19" t="s">
        <v>5</v>
      </c>
      <c r="C3" s="19" t="s">
        <v>224</v>
      </c>
    </row>
    <row r="4" spans="1:5">
      <c r="A4" s="19" t="s">
        <v>0</v>
      </c>
      <c r="B4" s="19" t="s">
        <v>6</v>
      </c>
      <c r="C4" s="19" t="s">
        <v>225</v>
      </c>
    </row>
    <row r="5" spans="1:5">
      <c r="A5" s="19" t="s">
        <v>0</v>
      </c>
      <c r="B5" s="19" t="s">
        <v>25</v>
      </c>
      <c r="C5" s="19" t="s">
        <v>77</v>
      </c>
      <c r="D5" s="19" t="s">
        <v>78</v>
      </c>
      <c r="E5" s="19" t="s">
        <v>51</v>
      </c>
    </row>
    <row r="8" spans="1:5">
      <c r="A8" s="19" t="s">
        <v>8</v>
      </c>
      <c r="C8" s="19" t="s">
        <v>79</v>
      </c>
    </row>
    <row r="9" spans="1:5">
      <c r="A9" s="19" t="s">
        <v>9</v>
      </c>
      <c r="C9" s="19" t="s">
        <v>80</v>
      </c>
    </row>
    <row r="10" spans="1:5">
      <c r="B10" s="19" t="s">
        <v>37</v>
      </c>
      <c r="C10" s="19" t="s">
        <v>81</v>
      </c>
    </row>
    <row r="11" spans="1:5">
      <c r="B11" s="19" t="s">
        <v>35</v>
      </c>
      <c r="C11" s="19" t="s">
        <v>81</v>
      </c>
    </row>
    <row r="12" spans="1:5">
      <c r="B12" s="19" t="s">
        <v>38</v>
      </c>
      <c r="C12" s="19" t="s">
        <v>82</v>
      </c>
    </row>
    <row r="13" spans="1:5">
      <c r="B13" s="19" t="s">
        <v>39</v>
      </c>
      <c r="C13" s="19" t="s">
        <v>83</v>
      </c>
      <c r="D13" s="19" t="s">
        <v>84</v>
      </c>
    </row>
    <row r="14" spans="1:5">
      <c r="D14" s="19" t="s">
        <v>85</v>
      </c>
    </row>
    <row r="15" spans="1:5">
      <c r="D15" s="19" t="s">
        <v>52</v>
      </c>
    </row>
    <row r="28" spans="3:4">
      <c r="C28" s="19" t="s">
        <v>53</v>
      </c>
      <c r="D28" s="19" t="s">
        <v>52</v>
      </c>
    </row>
    <row r="29" spans="3:4">
      <c r="D29" s="19" t="s">
        <v>84</v>
      </c>
    </row>
    <row r="30" spans="3:4">
      <c r="D30" s="19" t="s">
        <v>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51A30-23AE-488B-A969-0144068A9EE6}">
  <dimension ref="A1:AP39"/>
  <sheetViews>
    <sheetView workbookViewId="0"/>
  </sheetViews>
  <sheetFormatPr defaultRowHeight="15"/>
  <sheetData>
    <row r="1" spans="1:35">
      <c r="A1" s="19" t="s">
        <v>222</v>
      </c>
      <c r="B1" s="19" t="s">
        <v>41</v>
      </c>
      <c r="C1" s="19" t="s">
        <v>7</v>
      </c>
      <c r="D1" s="19" t="s">
        <v>7</v>
      </c>
      <c r="E1" s="19" t="s">
        <v>7</v>
      </c>
      <c r="F1" s="19" t="s">
        <v>7</v>
      </c>
      <c r="G1" s="19" t="s">
        <v>7</v>
      </c>
      <c r="H1" s="19" t="s">
        <v>7</v>
      </c>
      <c r="I1" s="19" t="s">
        <v>7</v>
      </c>
      <c r="J1" s="19" t="s">
        <v>48</v>
      </c>
      <c r="K1" s="19" t="s">
        <v>17</v>
      </c>
      <c r="L1" s="19" t="s">
        <v>17</v>
      </c>
      <c r="M1" s="19" t="s">
        <v>17</v>
      </c>
      <c r="N1" s="19" t="s">
        <v>17</v>
      </c>
      <c r="O1" s="19" t="s">
        <v>17</v>
      </c>
      <c r="P1" s="19" t="s">
        <v>17</v>
      </c>
      <c r="Q1" s="19" t="s">
        <v>17</v>
      </c>
      <c r="R1" s="19" t="s">
        <v>17</v>
      </c>
      <c r="S1" s="19" t="s">
        <v>17</v>
      </c>
      <c r="T1" s="19" t="s">
        <v>17</v>
      </c>
      <c r="V1" s="19" t="s">
        <v>17</v>
      </c>
      <c r="W1" s="19" t="s">
        <v>17</v>
      </c>
      <c r="X1" s="19" t="s">
        <v>17</v>
      </c>
      <c r="Y1" s="19" t="s">
        <v>7</v>
      </c>
      <c r="Z1" s="19" t="s">
        <v>7</v>
      </c>
      <c r="AA1" s="19" t="s">
        <v>17</v>
      </c>
      <c r="AB1" s="19" t="s">
        <v>17</v>
      </c>
      <c r="AC1" s="19" t="s">
        <v>17</v>
      </c>
      <c r="AH1" s="19" t="s">
        <v>7</v>
      </c>
      <c r="AI1" s="19" t="s">
        <v>7</v>
      </c>
    </row>
    <row r="2" spans="1:35">
      <c r="A2" s="19" t="s">
        <v>7</v>
      </c>
      <c r="D2" s="19" t="s">
        <v>18</v>
      </c>
      <c r="E2" s="19" t="s">
        <v>88</v>
      </c>
    </row>
    <row r="3" spans="1:35">
      <c r="A3" s="19" t="s">
        <v>7</v>
      </c>
      <c r="D3" s="19" t="s">
        <v>21</v>
      </c>
      <c r="E3" s="19" t="s">
        <v>19</v>
      </c>
      <c r="F3" s="19" t="s">
        <v>20</v>
      </c>
      <c r="G3" s="19" t="s">
        <v>22</v>
      </c>
      <c r="H3" s="19" t="s">
        <v>42</v>
      </c>
      <c r="I3" s="19" t="s">
        <v>23</v>
      </c>
    </row>
    <row r="4" spans="1:35">
      <c r="A4" s="19" t="s">
        <v>7</v>
      </c>
      <c r="C4" s="19" t="s">
        <v>11</v>
      </c>
      <c r="D4" s="19" t="s">
        <v>89</v>
      </c>
      <c r="E4" s="19" t="s">
        <v>90</v>
      </c>
      <c r="F4" s="19" t="s">
        <v>46</v>
      </c>
      <c r="G4" s="19" t="s">
        <v>24</v>
      </c>
      <c r="H4" s="19" t="s">
        <v>91</v>
      </c>
    </row>
    <row r="5" spans="1:35">
      <c r="A5" s="19" t="s">
        <v>7</v>
      </c>
      <c r="C5" s="19" t="s">
        <v>10</v>
      </c>
      <c r="D5" s="19" t="s">
        <v>92</v>
      </c>
      <c r="E5" s="19" t="s">
        <v>93</v>
      </c>
      <c r="F5" s="19" t="s">
        <v>47</v>
      </c>
      <c r="G5" s="19" t="s">
        <v>24</v>
      </c>
      <c r="H5" s="19" t="s">
        <v>91</v>
      </c>
      <c r="I5" s="19" t="s">
        <v>94</v>
      </c>
    </row>
    <row r="6" spans="1:35">
      <c r="A6" s="19" t="s">
        <v>7</v>
      </c>
      <c r="C6" s="19" t="s">
        <v>36</v>
      </c>
      <c r="D6" s="19" t="s">
        <v>95</v>
      </c>
      <c r="E6" s="19" t="s">
        <v>96</v>
      </c>
      <c r="F6" s="19" t="s">
        <v>47</v>
      </c>
      <c r="G6" s="19" t="s">
        <v>24</v>
      </c>
      <c r="H6" s="19" t="s">
        <v>91</v>
      </c>
      <c r="I6" s="19" t="s">
        <v>97</v>
      </c>
    </row>
    <row r="7" spans="1:35">
      <c r="A7" s="19" t="s">
        <v>7</v>
      </c>
    </row>
    <row r="8" spans="1:35">
      <c r="A8" s="19" t="s">
        <v>7</v>
      </c>
    </row>
    <row r="9" spans="1:35">
      <c r="A9" s="19" t="s">
        <v>7</v>
      </c>
    </row>
    <row r="10" spans="1:35">
      <c r="A10" s="19" t="s">
        <v>7</v>
      </c>
    </row>
    <row r="11" spans="1:35">
      <c r="A11" s="19" t="s">
        <v>7</v>
      </c>
      <c r="C11" s="19" t="s">
        <v>26</v>
      </c>
      <c r="E11" s="19" t="s">
        <v>98</v>
      </c>
    </row>
    <row r="12" spans="1:35">
      <c r="A12" s="19" t="s">
        <v>7</v>
      </c>
      <c r="C12" s="19" t="s">
        <v>27</v>
      </c>
      <c r="E12" s="19" t="s">
        <v>99</v>
      </c>
    </row>
    <row r="13" spans="1:35">
      <c r="A13" s="19" t="s">
        <v>7</v>
      </c>
      <c r="C13" s="19" t="s">
        <v>37</v>
      </c>
      <c r="E13" s="19" t="s">
        <v>100</v>
      </c>
    </row>
    <row r="14" spans="1:35">
      <c r="A14" s="19" t="s">
        <v>7</v>
      </c>
      <c r="C14" s="19" t="s">
        <v>35</v>
      </c>
      <c r="E14" s="19" t="s">
        <v>101</v>
      </c>
    </row>
    <row r="15" spans="1:35">
      <c r="A15" s="19" t="s">
        <v>7</v>
      </c>
      <c r="C15" s="19" t="s">
        <v>38</v>
      </c>
      <c r="E15" s="19" t="s">
        <v>102</v>
      </c>
    </row>
    <row r="16" spans="1:35">
      <c r="A16" s="19" t="s">
        <v>7</v>
      </c>
      <c r="C16" s="19" t="s">
        <v>39</v>
      </c>
      <c r="E16" s="19" t="s">
        <v>103</v>
      </c>
    </row>
    <row r="17" spans="1:42">
      <c r="A17" s="19" t="s">
        <v>7</v>
      </c>
    </row>
    <row r="18" spans="1:42">
      <c r="A18" s="19" t="s">
        <v>7</v>
      </c>
    </row>
    <row r="21" spans="1:42">
      <c r="K21" s="19" t="s">
        <v>40</v>
      </c>
    </row>
    <row r="23" spans="1:42">
      <c r="E23" s="19" t="s">
        <v>28</v>
      </c>
      <c r="K23" s="19" t="s">
        <v>54</v>
      </c>
      <c r="L23" s="19" t="s">
        <v>55</v>
      </c>
      <c r="M23" s="19" t="s">
        <v>14</v>
      </c>
      <c r="N23" s="19" t="s">
        <v>15</v>
      </c>
      <c r="O23" s="19" t="s">
        <v>29</v>
      </c>
      <c r="P23" s="19" t="s">
        <v>56</v>
      </c>
      <c r="Q23" s="19" t="s">
        <v>57</v>
      </c>
      <c r="R23" s="19" t="s">
        <v>30</v>
      </c>
      <c r="S23" s="19" t="s">
        <v>34</v>
      </c>
      <c r="T23" s="19" t="s">
        <v>32</v>
      </c>
      <c r="U23" s="19" t="s">
        <v>223</v>
      </c>
      <c r="V23" s="19" t="s">
        <v>16</v>
      </c>
      <c r="W23" s="19" t="s">
        <v>58</v>
      </c>
      <c r="X23" s="19" t="s">
        <v>59</v>
      </c>
      <c r="Y23" s="19" t="s">
        <v>33</v>
      </c>
      <c r="Z23" s="19" t="s">
        <v>12</v>
      </c>
      <c r="AA23" s="19" t="s">
        <v>31</v>
      </c>
      <c r="AB23" s="19" t="s">
        <v>13</v>
      </c>
      <c r="AC23" s="19" t="s">
        <v>49</v>
      </c>
      <c r="AD23" s="19" t="s">
        <v>50</v>
      </c>
      <c r="AE23" s="19" t="s">
        <v>60</v>
      </c>
      <c r="AF23" s="19" t="s">
        <v>61</v>
      </c>
      <c r="AG23" s="19" t="s">
        <v>62</v>
      </c>
      <c r="AH23" s="19" t="s">
        <v>63</v>
      </c>
      <c r="AI23" s="19" t="s">
        <v>64</v>
      </c>
      <c r="AJ23" s="19" t="s">
        <v>65</v>
      </c>
      <c r="AK23" s="19" t="s">
        <v>66</v>
      </c>
      <c r="AL23" s="19" t="s">
        <v>67</v>
      </c>
      <c r="AM23" s="19" t="s">
        <v>68</v>
      </c>
      <c r="AN23" s="19" t="s">
        <v>69</v>
      </c>
      <c r="AO23" s="19" t="s">
        <v>70</v>
      </c>
      <c r="AP23" s="19" t="s">
        <v>71</v>
      </c>
    </row>
    <row r="24" spans="1:42">
      <c r="B24" s="19" t="s">
        <v>104</v>
      </c>
      <c r="C24" s="19" t="s">
        <v>43</v>
      </c>
      <c r="E24" s="19" t="s">
        <v>105</v>
      </c>
      <c r="K24" s="19" t="s">
        <v>106</v>
      </c>
      <c r="L24" s="19" t="s">
        <v>107</v>
      </c>
      <c r="M24" s="19" t="s">
        <v>108</v>
      </c>
      <c r="N24" s="19" t="s">
        <v>109</v>
      </c>
      <c r="O24" s="19" t="s">
        <v>110</v>
      </c>
      <c r="P24" s="19" t="s">
        <v>111</v>
      </c>
      <c r="R24" s="19" t="s">
        <v>112</v>
      </c>
      <c r="S24" s="19" t="s">
        <v>113</v>
      </c>
      <c r="T24" s="19" t="s">
        <v>114</v>
      </c>
      <c r="U24" s="19" t="s">
        <v>226</v>
      </c>
      <c r="V24" s="19" t="s">
        <v>115</v>
      </c>
      <c r="W24" s="19" t="s">
        <v>116</v>
      </c>
      <c r="X24" s="19" t="s">
        <v>227</v>
      </c>
      <c r="Y24" s="19" t="s">
        <v>117</v>
      </c>
      <c r="Z24" s="19" t="s">
        <v>118</v>
      </c>
      <c r="AA24" s="19" t="s">
        <v>119</v>
      </c>
      <c r="AB24" s="19" t="s">
        <v>120</v>
      </c>
      <c r="AC24" s="19" t="s">
        <v>228</v>
      </c>
      <c r="AD24" s="19" t="s">
        <v>121</v>
      </c>
      <c r="AE24" s="19" t="s">
        <v>122</v>
      </c>
      <c r="AF24" s="19" t="s">
        <v>121</v>
      </c>
      <c r="AG24" s="19" t="s">
        <v>72</v>
      </c>
      <c r="AH24" s="19" t="s">
        <v>123</v>
      </c>
      <c r="AI24" s="19" t="s">
        <v>73</v>
      </c>
      <c r="AJ24" s="19" t="s">
        <v>74</v>
      </c>
      <c r="AK24" s="19" t="s">
        <v>124</v>
      </c>
      <c r="AL24" s="19" t="s">
        <v>125</v>
      </c>
      <c r="AM24" s="19" t="s">
        <v>126</v>
      </c>
      <c r="AN24" s="19" t="s">
        <v>127</v>
      </c>
      <c r="AO24" s="19" t="s">
        <v>128</v>
      </c>
      <c r="AP24" s="19" t="s">
        <v>129</v>
      </c>
    </row>
    <row r="25" spans="1:42">
      <c r="A25" s="19" t="s">
        <v>166</v>
      </c>
      <c r="B25" s="19" t="s">
        <v>130</v>
      </c>
      <c r="C25" s="19" t="s">
        <v>43</v>
      </c>
      <c r="E25" s="19" t="s">
        <v>232</v>
      </c>
      <c r="K25" s="19" t="s">
        <v>170</v>
      </c>
      <c r="L25" s="19" t="s">
        <v>171</v>
      </c>
      <c r="M25" s="19" t="s">
        <v>132</v>
      </c>
      <c r="N25" s="19" t="s">
        <v>133</v>
      </c>
      <c r="O25" s="19" t="s">
        <v>134</v>
      </c>
      <c r="P25" s="19" t="s">
        <v>172</v>
      </c>
      <c r="R25" s="19" t="s">
        <v>135</v>
      </c>
      <c r="S25" s="19" t="s">
        <v>136</v>
      </c>
      <c r="T25" s="19" t="s">
        <v>138</v>
      </c>
      <c r="U25" s="19" t="s">
        <v>145</v>
      </c>
      <c r="V25" s="19" t="s">
        <v>173</v>
      </c>
      <c r="W25" s="19" t="s">
        <v>174</v>
      </c>
      <c r="X25" s="19" t="s">
        <v>233</v>
      </c>
      <c r="Y25" s="19" t="s">
        <v>137</v>
      </c>
      <c r="Z25" s="19" t="s">
        <v>139</v>
      </c>
      <c r="AA25" s="19" t="s">
        <v>140</v>
      </c>
      <c r="AB25" s="19" t="s">
        <v>141</v>
      </c>
      <c r="AC25" s="19" t="s">
        <v>234</v>
      </c>
      <c r="AD25" s="19" t="s">
        <v>146</v>
      </c>
      <c r="AE25" s="19" t="s">
        <v>175</v>
      </c>
      <c r="AF25" s="19" t="s">
        <v>146</v>
      </c>
      <c r="AG25" s="19" t="s">
        <v>72</v>
      </c>
      <c r="AH25" s="19" t="s">
        <v>143</v>
      </c>
      <c r="AI25" s="19" t="s">
        <v>73</v>
      </c>
      <c r="AJ25" s="19" t="s">
        <v>74</v>
      </c>
      <c r="AK25" s="19" t="s">
        <v>176</v>
      </c>
      <c r="AL25" s="19" t="s">
        <v>177</v>
      </c>
      <c r="AM25" s="19" t="s">
        <v>178</v>
      </c>
      <c r="AN25" s="19" t="s">
        <v>179</v>
      </c>
      <c r="AO25" s="19" t="s">
        <v>180</v>
      </c>
      <c r="AP25" s="19" t="s">
        <v>181</v>
      </c>
    </row>
    <row r="26" spans="1:42">
      <c r="A26" s="19" t="s">
        <v>166</v>
      </c>
      <c r="B26" s="19" t="s">
        <v>147</v>
      </c>
      <c r="C26" s="19" t="s">
        <v>43</v>
      </c>
      <c r="E26" s="19" t="s">
        <v>235</v>
      </c>
      <c r="K26" s="19" t="s">
        <v>182</v>
      </c>
      <c r="L26" s="19" t="s">
        <v>183</v>
      </c>
      <c r="M26" s="19" t="s">
        <v>149</v>
      </c>
      <c r="N26" s="19" t="s">
        <v>150</v>
      </c>
      <c r="O26" s="19" t="s">
        <v>151</v>
      </c>
      <c r="P26" s="19" t="s">
        <v>184</v>
      </c>
      <c r="R26" s="19" t="s">
        <v>152</v>
      </c>
      <c r="S26" s="19" t="s">
        <v>153</v>
      </c>
      <c r="T26" s="19" t="s">
        <v>155</v>
      </c>
      <c r="U26" s="19" t="s">
        <v>162</v>
      </c>
      <c r="V26" s="19" t="s">
        <v>185</v>
      </c>
      <c r="W26" s="19" t="s">
        <v>186</v>
      </c>
      <c r="X26" s="19" t="s">
        <v>236</v>
      </c>
      <c r="Y26" s="19" t="s">
        <v>154</v>
      </c>
      <c r="Z26" s="19" t="s">
        <v>156</v>
      </c>
      <c r="AA26" s="19" t="s">
        <v>157</v>
      </c>
      <c r="AB26" s="19" t="s">
        <v>158</v>
      </c>
      <c r="AC26" s="19" t="s">
        <v>237</v>
      </c>
      <c r="AD26" s="19" t="s">
        <v>163</v>
      </c>
      <c r="AE26" s="19" t="s">
        <v>187</v>
      </c>
      <c r="AF26" s="19" t="s">
        <v>163</v>
      </c>
      <c r="AG26" s="19" t="s">
        <v>72</v>
      </c>
      <c r="AH26" s="19" t="s">
        <v>160</v>
      </c>
      <c r="AI26" s="19" t="s">
        <v>73</v>
      </c>
      <c r="AJ26" s="19" t="s">
        <v>74</v>
      </c>
      <c r="AK26" s="19" t="s">
        <v>188</v>
      </c>
      <c r="AL26" s="19" t="s">
        <v>189</v>
      </c>
      <c r="AM26" s="19" t="s">
        <v>190</v>
      </c>
      <c r="AN26" s="19" t="s">
        <v>191</v>
      </c>
      <c r="AO26" s="19" t="s">
        <v>192</v>
      </c>
      <c r="AP26" s="19" t="s">
        <v>193</v>
      </c>
    </row>
    <row r="27" spans="1:42">
      <c r="A27" s="19" t="s">
        <v>166</v>
      </c>
      <c r="B27" s="19" t="s">
        <v>194</v>
      </c>
      <c r="C27" s="19" t="s">
        <v>43</v>
      </c>
      <c r="E27" s="19" t="s">
        <v>238</v>
      </c>
      <c r="K27" s="19" t="s">
        <v>239</v>
      </c>
      <c r="L27" s="19" t="s">
        <v>240</v>
      </c>
      <c r="M27" s="19" t="s">
        <v>195</v>
      </c>
      <c r="N27" s="19" t="s">
        <v>196</v>
      </c>
      <c r="O27" s="19" t="s">
        <v>197</v>
      </c>
      <c r="P27" s="19" t="s">
        <v>241</v>
      </c>
      <c r="R27" s="19" t="s">
        <v>198</v>
      </c>
      <c r="S27" s="19" t="s">
        <v>199</v>
      </c>
      <c r="T27" s="19" t="s">
        <v>201</v>
      </c>
      <c r="U27" s="19" t="s">
        <v>206</v>
      </c>
      <c r="V27" s="19" t="s">
        <v>242</v>
      </c>
      <c r="W27" s="19" t="s">
        <v>243</v>
      </c>
      <c r="X27" s="19" t="s">
        <v>244</v>
      </c>
      <c r="Y27" s="19" t="s">
        <v>200</v>
      </c>
      <c r="Z27" s="19" t="s">
        <v>202</v>
      </c>
      <c r="AA27" s="19" t="s">
        <v>203</v>
      </c>
      <c r="AB27" s="19" t="s">
        <v>204</v>
      </c>
      <c r="AC27" s="19" t="s">
        <v>245</v>
      </c>
      <c r="AD27" s="19" t="s">
        <v>207</v>
      </c>
      <c r="AE27" s="19" t="s">
        <v>246</v>
      </c>
      <c r="AF27" s="19" t="s">
        <v>207</v>
      </c>
      <c r="AG27" s="19" t="s">
        <v>72</v>
      </c>
      <c r="AH27" s="19" t="s">
        <v>205</v>
      </c>
      <c r="AI27" s="19" t="s">
        <v>73</v>
      </c>
      <c r="AJ27" s="19" t="s">
        <v>74</v>
      </c>
      <c r="AK27" s="19" t="s">
        <v>247</v>
      </c>
      <c r="AL27" s="19" t="s">
        <v>248</v>
      </c>
      <c r="AM27" s="19" t="s">
        <v>249</v>
      </c>
      <c r="AN27" s="19" t="s">
        <v>250</v>
      </c>
      <c r="AO27" s="19" t="s">
        <v>251</v>
      </c>
      <c r="AP27" s="19" t="s">
        <v>252</v>
      </c>
    </row>
    <row r="28" spans="1:42">
      <c r="A28" s="19" t="s">
        <v>166</v>
      </c>
      <c r="B28" s="19" t="s">
        <v>208</v>
      </c>
      <c r="C28" s="19" t="s">
        <v>43</v>
      </c>
      <c r="E28" s="19" t="s">
        <v>253</v>
      </c>
      <c r="K28" s="19" t="s">
        <v>254</v>
      </c>
      <c r="L28" s="19" t="s">
        <v>255</v>
      </c>
      <c r="M28" s="19" t="s">
        <v>209</v>
      </c>
      <c r="N28" s="19" t="s">
        <v>210</v>
      </c>
      <c r="O28" s="19" t="s">
        <v>211</v>
      </c>
      <c r="P28" s="19" t="s">
        <v>256</v>
      </c>
      <c r="R28" s="19" t="s">
        <v>212</v>
      </c>
      <c r="S28" s="19" t="s">
        <v>213</v>
      </c>
      <c r="T28" s="19" t="s">
        <v>215</v>
      </c>
      <c r="U28" s="19" t="s">
        <v>220</v>
      </c>
      <c r="V28" s="19" t="s">
        <v>257</v>
      </c>
      <c r="W28" s="19" t="s">
        <v>258</v>
      </c>
      <c r="X28" s="19" t="s">
        <v>259</v>
      </c>
      <c r="Y28" s="19" t="s">
        <v>214</v>
      </c>
      <c r="Z28" s="19" t="s">
        <v>216</v>
      </c>
      <c r="AA28" s="19" t="s">
        <v>217</v>
      </c>
      <c r="AB28" s="19" t="s">
        <v>218</v>
      </c>
      <c r="AC28" s="19" t="s">
        <v>260</v>
      </c>
      <c r="AD28" s="19" t="s">
        <v>221</v>
      </c>
      <c r="AE28" s="19" t="s">
        <v>261</v>
      </c>
      <c r="AF28" s="19" t="s">
        <v>221</v>
      </c>
      <c r="AG28" s="19" t="s">
        <v>72</v>
      </c>
      <c r="AH28" s="19" t="s">
        <v>219</v>
      </c>
      <c r="AI28" s="19" t="s">
        <v>73</v>
      </c>
      <c r="AJ28" s="19" t="s">
        <v>74</v>
      </c>
      <c r="AK28" s="19" t="s">
        <v>262</v>
      </c>
      <c r="AL28" s="19" t="s">
        <v>263</v>
      </c>
      <c r="AM28" s="19" t="s">
        <v>264</v>
      </c>
      <c r="AN28" s="19" t="s">
        <v>265</v>
      </c>
      <c r="AO28" s="19" t="s">
        <v>266</v>
      </c>
      <c r="AP28" s="19" t="s">
        <v>267</v>
      </c>
    </row>
    <row r="29" spans="1:42">
      <c r="A29" s="19" t="s">
        <v>166</v>
      </c>
      <c r="B29" s="19" t="s">
        <v>268</v>
      </c>
      <c r="C29" s="19" t="s">
        <v>43</v>
      </c>
      <c r="E29" s="19" t="s">
        <v>269</v>
      </c>
      <c r="K29" s="19" t="s">
        <v>270</v>
      </c>
      <c r="L29" s="19" t="s">
        <v>271</v>
      </c>
      <c r="M29" s="19" t="s">
        <v>272</v>
      </c>
      <c r="N29" s="19" t="s">
        <v>273</v>
      </c>
      <c r="O29" s="19" t="s">
        <v>274</v>
      </c>
      <c r="P29" s="19" t="s">
        <v>275</v>
      </c>
      <c r="R29" s="19" t="s">
        <v>276</v>
      </c>
      <c r="S29" s="19" t="s">
        <v>277</v>
      </c>
      <c r="T29" s="19" t="s">
        <v>278</v>
      </c>
      <c r="U29" s="19" t="s">
        <v>279</v>
      </c>
      <c r="V29" s="19" t="s">
        <v>280</v>
      </c>
      <c r="W29" s="19" t="s">
        <v>281</v>
      </c>
      <c r="X29" s="19" t="s">
        <v>282</v>
      </c>
      <c r="Y29" s="19" t="s">
        <v>283</v>
      </c>
      <c r="Z29" s="19" t="s">
        <v>284</v>
      </c>
      <c r="AA29" s="19" t="s">
        <v>285</v>
      </c>
      <c r="AB29" s="19" t="s">
        <v>286</v>
      </c>
      <c r="AC29" s="19" t="s">
        <v>287</v>
      </c>
      <c r="AD29" s="19" t="s">
        <v>288</v>
      </c>
      <c r="AE29" s="19" t="s">
        <v>289</v>
      </c>
      <c r="AF29" s="19" t="s">
        <v>288</v>
      </c>
      <c r="AG29" s="19" t="s">
        <v>72</v>
      </c>
      <c r="AH29" s="19" t="s">
        <v>290</v>
      </c>
      <c r="AI29" s="19" t="s">
        <v>73</v>
      </c>
      <c r="AJ29" s="19" t="s">
        <v>74</v>
      </c>
      <c r="AK29" s="19" t="s">
        <v>291</v>
      </c>
      <c r="AL29" s="19" t="s">
        <v>292</v>
      </c>
      <c r="AM29" s="19" t="s">
        <v>293</v>
      </c>
      <c r="AN29" s="19" t="s">
        <v>294</v>
      </c>
      <c r="AO29" s="19" t="s">
        <v>295</v>
      </c>
      <c r="AP29" s="19" t="s">
        <v>296</v>
      </c>
    </row>
    <row r="30" spans="1:42">
      <c r="A30" s="19" t="s">
        <v>166</v>
      </c>
      <c r="B30" s="19" t="s">
        <v>297</v>
      </c>
      <c r="C30" s="19" t="s">
        <v>43</v>
      </c>
      <c r="E30" s="19" t="s">
        <v>298</v>
      </c>
      <c r="K30" s="19" t="s">
        <v>299</v>
      </c>
      <c r="L30" s="19" t="s">
        <v>300</v>
      </c>
      <c r="M30" s="19" t="s">
        <v>301</v>
      </c>
      <c r="N30" s="19" t="s">
        <v>302</v>
      </c>
      <c r="O30" s="19" t="s">
        <v>303</v>
      </c>
      <c r="P30" s="19" t="s">
        <v>304</v>
      </c>
      <c r="R30" s="19" t="s">
        <v>305</v>
      </c>
      <c r="S30" s="19" t="s">
        <v>306</v>
      </c>
      <c r="T30" s="19" t="s">
        <v>307</v>
      </c>
      <c r="U30" s="19" t="s">
        <v>308</v>
      </c>
      <c r="V30" s="19" t="s">
        <v>309</v>
      </c>
      <c r="W30" s="19" t="s">
        <v>310</v>
      </c>
      <c r="X30" s="19" t="s">
        <v>311</v>
      </c>
      <c r="Y30" s="19" t="s">
        <v>312</v>
      </c>
      <c r="Z30" s="19" t="s">
        <v>313</v>
      </c>
      <c r="AA30" s="19" t="s">
        <v>314</v>
      </c>
      <c r="AB30" s="19" t="s">
        <v>315</v>
      </c>
      <c r="AC30" s="19" t="s">
        <v>316</v>
      </c>
      <c r="AD30" s="19" t="s">
        <v>317</v>
      </c>
      <c r="AE30" s="19" t="s">
        <v>318</v>
      </c>
      <c r="AF30" s="19" t="s">
        <v>317</v>
      </c>
      <c r="AG30" s="19" t="s">
        <v>72</v>
      </c>
      <c r="AH30" s="19" t="s">
        <v>319</v>
      </c>
      <c r="AI30" s="19" t="s">
        <v>73</v>
      </c>
      <c r="AJ30" s="19" t="s">
        <v>74</v>
      </c>
      <c r="AK30" s="19" t="s">
        <v>320</v>
      </c>
      <c r="AL30" s="19" t="s">
        <v>321</v>
      </c>
      <c r="AM30" s="19" t="s">
        <v>322</v>
      </c>
      <c r="AN30" s="19" t="s">
        <v>323</v>
      </c>
      <c r="AO30" s="19" t="s">
        <v>324</v>
      </c>
      <c r="AP30" s="19" t="s">
        <v>325</v>
      </c>
    </row>
    <row r="31" spans="1:42">
      <c r="A31" s="19" t="s">
        <v>166</v>
      </c>
      <c r="B31" s="19" t="s">
        <v>326</v>
      </c>
      <c r="C31" s="19" t="s">
        <v>43</v>
      </c>
      <c r="E31" s="19" t="s">
        <v>327</v>
      </c>
      <c r="K31" s="19" t="s">
        <v>328</v>
      </c>
      <c r="L31" s="19" t="s">
        <v>329</v>
      </c>
      <c r="M31" s="19" t="s">
        <v>330</v>
      </c>
      <c r="N31" s="19" t="s">
        <v>331</v>
      </c>
      <c r="O31" s="19" t="s">
        <v>332</v>
      </c>
      <c r="P31" s="19" t="s">
        <v>333</v>
      </c>
      <c r="R31" s="19" t="s">
        <v>334</v>
      </c>
      <c r="S31" s="19" t="s">
        <v>335</v>
      </c>
      <c r="T31" s="19" t="s">
        <v>336</v>
      </c>
      <c r="U31" s="19" t="s">
        <v>337</v>
      </c>
      <c r="V31" s="19" t="s">
        <v>338</v>
      </c>
      <c r="W31" s="19" t="s">
        <v>339</v>
      </c>
      <c r="X31" s="19" t="s">
        <v>340</v>
      </c>
      <c r="Y31" s="19" t="s">
        <v>341</v>
      </c>
      <c r="Z31" s="19" t="s">
        <v>342</v>
      </c>
      <c r="AA31" s="19" t="s">
        <v>343</v>
      </c>
      <c r="AB31" s="19" t="s">
        <v>344</v>
      </c>
      <c r="AC31" s="19" t="s">
        <v>345</v>
      </c>
      <c r="AD31" s="19" t="s">
        <v>346</v>
      </c>
      <c r="AE31" s="19" t="s">
        <v>347</v>
      </c>
      <c r="AF31" s="19" t="s">
        <v>346</v>
      </c>
      <c r="AG31" s="19" t="s">
        <v>72</v>
      </c>
      <c r="AH31" s="19" t="s">
        <v>348</v>
      </c>
      <c r="AI31" s="19" t="s">
        <v>73</v>
      </c>
      <c r="AJ31" s="19" t="s">
        <v>74</v>
      </c>
      <c r="AK31" s="19" t="s">
        <v>349</v>
      </c>
      <c r="AL31" s="19" t="s">
        <v>350</v>
      </c>
      <c r="AM31" s="19" t="s">
        <v>351</v>
      </c>
      <c r="AN31" s="19" t="s">
        <v>352</v>
      </c>
      <c r="AO31" s="19" t="s">
        <v>353</v>
      </c>
      <c r="AP31" s="19" t="s">
        <v>354</v>
      </c>
    </row>
    <row r="32" spans="1:42">
      <c r="A32" s="19" t="s">
        <v>166</v>
      </c>
      <c r="B32" s="19" t="s">
        <v>355</v>
      </c>
      <c r="C32" s="19" t="s">
        <v>43</v>
      </c>
      <c r="E32" s="19" t="s">
        <v>356</v>
      </c>
      <c r="K32" s="19" t="s">
        <v>357</v>
      </c>
      <c r="L32" s="19" t="s">
        <v>358</v>
      </c>
      <c r="M32" s="19" t="s">
        <v>359</v>
      </c>
      <c r="N32" s="19" t="s">
        <v>360</v>
      </c>
      <c r="O32" s="19" t="s">
        <v>361</v>
      </c>
      <c r="P32" s="19" t="s">
        <v>362</v>
      </c>
      <c r="R32" s="19" t="s">
        <v>363</v>
      </c>
      <c r="S32" s="19" t="s">
        <v>364</v>
      </c>
      <c r="T32" s="19" t="s">
        <v>365</v>
      </c>
      <c r="U32" s="19" t="s">
        <v>366</v>
      </c>
      <c r="V32" s="19" t="s">
        <v>367</v>
      </c>
      <c r="W32" s="19" t="s">
        <v>368</v>
      </c>
      <c r="X32" s="19" t="s">
        <v>369</v>
      </c>
      <c r="Y32" s="19" t="s">
        <v>370</v>
      </c>
      <c r="Z32" s="19" t="s">
        <v>371</v>
      </c>
      <c r="AA32" s="19" t="s">
        <v>372</v>
      </c>
      <c r="AB32" s="19" t="s">
        <v>373</v>
      </c>
      <c r="AC32" s="19" t="s">
        <v>374</v>
      </c>
      <c r="AD32" s="19" t="s">
        <v>375</v>
      </c>
      <c r="AE32" s="19" t="s">
        <v>376</v>
      </c>
      <c r="AF32" s="19" t="s">
        <v>375</v>
      </c>
      <c r="AG32" s="19" t="s">
        <v>72</v>
      </c>
      <c r="AH32" s="19" t="s">
        <v>377</v>
      </c>
      <c r="AI32" s="19" t="s">
        <v>73</v>
      </c>
      <c r="AJ32" s="19" t="s">
        <v>74</v>
      </c>
      <c r="AK32" s="19" t="s">
        <v>378</v>
      </c>
      <c r="AL32" s="19" t="s">
        <v>379</v>
      </c>
      <c r="AM32" s="19" t="s">
        <v>380</v>
      </c>
      <c r="AN32" s="19" t="s">
        <v>381</v>
      </c>
      <c r="AO32" s="19" t="s">
        <v>382</v>
      </c>
      <c r="AP32" s="19" t="s">
        <v>383</v>
      </c>
    </row>
    <row r="33" spans="1:42">
      <c r="A33" s="19" t="s">
        <v>166</v>
      </c>
      <c r="B33" s="19" t="s">
        <v>384</v>
      </c>
      <c r="C33" s="19" t="s">
        <v>43</v>
      </c>
      <c r="E33" s="19" t="s">
        <v>385</v>
      </c>
      <c r="K33" s="19" t="s">
        <v>386</v>
      </c>
      <c r="L33" s="19" t="s">
        <v>387</v>
      </c>
      <c r="M33" s="19" t="s">
        <v>388</v>
      </c>
      <c r="N33" s="19" t="s">
        <v>389</v>
      </c>
      <c r="O33" s="19" t="s">
        <v>390</v>
      </c>
      <c r="P33" s="19" t="s">
        <v>391</v>
      </c>
      <c r="R33" s="19" t="s">
        <v>392</v>
      </c>
      <c r="S33" s="19" t="s">
        <v>393</v>
      </c>
      <c r="T33" s="19" t="s">
        <v>394</v>
      </c>
      <c r="U33" s="19" t="s">
        <v>395</v>
      </c>
      <c r="V33" s="19" t="s">
        <v>396</v>
      </c>
      <c r="W33" s="19" t="s">
        <v>397</v>
      </c>
      <c r="X33" s="19" t="s">
        <v>398</v>
      </c>
      <c r="Y33" s="19" t="s">
        <v>399</v>
      </c>
      <c r="Z33" s="19" t="s">
        <v>400</v>
      </c>
      <c r="AA33" s="19" t="s">
        <v>401</v>
      </c>
      <c r="AB33" s="19" t="s">
        <v>402</v>
      </c>
      <c r="AC33" s="19" t="s">
        <v>403</v>
      </c>
      <c r="AD33" s="19" t="s">
        <v>404</v>
      </c>
      <c r="AE33" s="19" t="s">
        <v>405</v>
      </c>
      <c r="AF33" s="19" t="s">
        <v>404</v>
      </c>
      <c r="AG33" s="19" t="s">
        <v>72</v>
      </c>
      <c r="AH33" s="19" t="s">
        <v>406</v>
      </c>
      <c r="AI33" s="19" t="s">
        <v>73</v>
      </c>
      <c r="AJ33" s="19" t="s">
        <v>74</v>
      </c>
      <c r="AK33" s="19" t="s">
        <v>407</v>
      </c>
      <c r="AL33" s="19" t="s">
        <v>408</v>
      </c>
      <c r="AM33" s="19" t="s">
        <v>409</v>
      </c>
      <c r="AN33" s="19" t="s">
        <v>410</v>
      </c>
      <c r="AO33" s="19" t="s">
        <v>411</v>
      </c>
      <c r="AP33" s="19" t="s">
        <v>412</v>
      </c>
    </row>
    <row r="34" spans="1:42">
      <c r="A34" s="19" t="s">
        <v>166</v>
      </c>
      <c r="B34" s="19" t="s">
        <v>413</v>
      </c>
      <c r="C34" s="19" t="s">
        <v>43</v>
      </c>
      <c r="E34" s="19" t="s">
        <v>414</v>
      </c>
      <c r="K34" s="19" t="s">
        <v>415</v>
      </c>
      <c r="L34" s="19" t="s">
        <v>416</v>
      </c>
      <c r="M34" s="19" t="s">
        <v>417</v>
      </c>
      <c r="N34" s="19" t="s">
        <v>418</v>
      </c>
      <c r="O34" s="19" t="s">
        <v>419</v>
      </c>
      <c r="P34" s="19" t="s">
        <v>420</v>
      </c>
      <c r="R34" s="19" t="s">
        <v>421</v>
      </c>
      <c r="S34" s="19" t="s">
        <v>422</v>
      </c>
      <c r="T34" s="19" t="s">
        <v>423</v>
      </c>
      <c r="U34" s="19" t="s">
        <v>424</v>
      </c>
      <c r="V34" s="19" t="s">
        <v>425</v>
      </c>
      <c r="W34" s="19" t="s">
        <v>426</v>
      </c>
      <c r="X34" s="19" t="s">
        <v>427</v>
      </c>
      <c r="Y34" s="19" t="s">
        <v>428</v>
      </c>
      <c r="Z34" s="19" t="s">
        <v>429</v>
      </c>
      <c r="AA34" s="19" t="s">
        <v>430</v>
      </c>
      <c r="AB34" s="19" t="s">
        <v>431</v>
      </c>
      <c r="AC34" s="19" t="s">
        <v>432</v>
      </c>
      <c r="AD34" s="19" t="s">
        <v>433</v>
      </c>
      <c r="AE34" s="19" t="s">
        <v>434</v>
      </c>
      <c r="AF34" s="19" t="s">
        <v>433</v>
      </c>
      <c r="AG34" s="19" t="s">
        <v>72</v>
      </c>
      <c r="AH34" s="19" t="s">
        <v>435</v>
      </c>
      <c r="AI34" s="19" t="s">
        <v>73</v>
      </c>
      <c r="AJ34" s="19" t="s">
        <v>74</v>
      </c>
      <c r="AK34" s="19" t="s">
        <v>436</v>
      </c>
      <c r="AL34" s="19" t="s">
        <v>437</v>
      </c>
      <c r="AM34" s="19" t="s">
        <v>438</v>
      </c>
      <c r="AN34" s="19" t="s">
        <v>439</v>
      </c>
      <c r="AO34" s="19" t="s">
        <v>440</v>
      </c>
      <c r="AP34" s="19" t="s">
        <v>441</v>
      </c>
    </row>
    <row r="35" spans="1:42">
      <c r="A35" s="19" t="s">
        <v>166</v>
      </c>
      <c r="B35" s="19" t="s">
        <v>442</v>
      </c>
      <c r="C35" s="19" t="s">
        <v>43</v>
      </c>
      <c r="E35" s="19" t="s">
        <v>443</v>
      </c>
      <c r="K35" s="19" t="s">
        <v>444</v>
      </c>
      <c r="L35" s="19" t="s">
        <v>445</v>
      </c>
      <c r="M35" s="19" t="s">
        <v>446</v>
      </c>
      <c r="N35" s="19" t="s">
        <v>447</v>
      </c>
      <c r="O35" s="19" t="s">
        <v>448</v>
      </c>
      <c r="P35" s="19" t="s">
        <v>449</v>
      </c>
      <c r="R35" s="19" t="s">
        <v>450</v>
      </c>
      <c r="S35" s="19" t="s">
        <v>451</v>
      </c>
      <c r="T35" s="19" t="s">
        <v>452</v>
      </c>
      <c r="U35" s="19" t="s">
        <v>453</v>
      </c>
      <c r="V35" s="19" t="s">
        <v>454</v>
      </c>
      <c r="W35" s="19" t="s">
        <v>455</v>
      </c>
      <c r="X35" s="19" t="s">
        <v>456</v>
      </c>
      <c r="Y35" s="19" t="s">
        <v>457</v>
      </c>
      <c r="Z35" s="19" t="s">
        <v>458</v>
      </c>
      <c r="AA35" s="19" t="s">
        <v>459</v>
      </c>
      <c r="AB35" s="19" t="s">
        <v>460</v>
      </c>
      <c r="AC35" s="19" t="s">
        <v>461</v>
      </c>
      <c r="AD35" s="19" t="s">
        <v>462</v>
      </c>
      <c r="AE35" s="19" t="s">
        <v>463</v>
      </c>
      <c r="AF35" s="19" t="s">
        <v>462</v>
      </c>
      <c r="AG35" s="19" t="s">
        <v>72</v>
      </c>
      <c r="AH35" s="19" t="s">
        <v>464</v>
      </c>
      <c r="AI35" s="19" t="s">
        <v>73</v>
      </c>
      <c r="AJ35" s="19" t="s">
        <v>74</v>
      </c>
      <c r="AK35" s="19" t="s">
        <v>465</v>
      </c>
      <c r="AL35" s="19" t="s">
        <v>466</v>
      </c>
      <c r="AM35" s="19" t="s">
        <v>467</v>
      </c>
      <c r="AN35" s="19" t="s">
        <v>468</v>
      </c>
      <c r="AO35" s="19" t="s">
        <v>469</v>
      </c>
      <c r="AP35" s="19" t="s">
        <v>470</v>
      </c>
    </row>
    <row r="36" spans="1:42">
      <c r="B36" s="19" t="s">
        <v>471</v>
      </c>
      <c r="C36" s="19" t="s">
        <v>44</v>
      </c>
      <c r="E36" s="19" t="s">
        <v>131</v>
      </c>
      <c r="K36" s="19" t="s">
        <v>472</v>
      </c>
      <c r="L36" s="19" t="s">
        <v>473</v>
      </c>
      <c r="M36" s="19" t="s">
        <v>474</v>
      </c>
      <c r="N36" s="19" t="s">
        <v>475</v>
      </c>
      <c r="O36" s="19" t="s">
        <v>476</v>
      </c>
      <c r="P36" s="19" t="s">
        <v>477</v>
      </c>
      <c r="Q36" s="19" t="s">
        <v>478</v>
      </c>
      <c r="S36" s="19" t="s">
        <v>477</v>
      </c>
      <c r="T36" s="19" t="s">
        <v>479</v>
      </c>
      <c r="V36" s="19" t="s">
        <v>480</v>
      </c>
      <c r="W36" s="19" t="s">
        <v>481</v>
      </c>
      <c r="X36" s="19" t="s">
        <v>482</v>
      </c>
      <c r="Y36" s="19" t="s">
        <v>483</v>
      </c>
      <c r="Z36" s="19" t="s">
        <v>484</v>
      </c>
      <c r="AA36" s="19" t="s">
        <v>485</v>
      </c>
      <c r="AB36" s="19" t="s">
        <v>486</v>
      </c>
      <c r="AC36" s="19" t="s">
        <v>487</v>
      </c>
    </row>
    <row r="37" spans="1:42">
      <c r="B37" s="19" t="s">
        <v>488</v>
      </c>
      <c r="C37" s="19" t="s">
        <v>45</v>
      </c>
      <c r="E37" s="19" t="s">
        <v>148</v>
      </c>
      <c r="K37" s="19" t="s">
        <v>489</v>
      </c>
      <c r="L37" s="19" t="s">
        <v>490</v>
      </c>
      <c r="M37" s="19" t="s">
        <v>491</v>
      </c>
      <c r="N37" s="19" t="s">
        <v>492</v>
      </c>
      <c r="O37" s="19" t="s">
        <v>493</v>
      </c>
      <c r="P37" s="19" t="s">
        <v>494</v>
      </c>
      <c r="Q37" s="19" t="s">
        <v>495</v>
      </c>
      <c r="S37" s="19" t="s">
        <v>494</v>
      </c>
      <c r="T37" s="19" t="s">
        <v>496</v>
      </c>
      <c r="V37" s="19" t="s">
        <v>497</v>
      </c>
      <c r="W37" s="19" t="s">
        <v>498</v>
      </c>
      <c r="X37" s="19" t="s">
        <v>499</v>
      </c>
      <c r="Y37" s="19" t="s">
        <v>500</v>
      </c>
      <c r="Z37" s="19" t="s">
        <v>501</v>
      </c>
      <c r="AA37" s="19" t="s">
        <v>502</v>
      </c>
      <c r="AB37" s="19" t="s">
        <v>503</v>
      </c>
      <c r="AC37" s="19" t="s">
        <v>504</v>
      </c>
    </row>
    <row r="39" spans="1:42">
      <c r="AB39" s="19" t="s">
        <v>505</v>
      </c>
      <c r="AC39" s="19" t="s">
        <v>506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Option</vt:lpstr>
      <vt:lpstr>Data</vt:lpstr>
      <vt:lpstr>Customer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cp:lastPrinted>2025-01-06T09:08:02Z</cp:lastPrinted>
  <dcterms:created xsi:type="dcterms:W3CDTF">2017-04-18T02:36:09Z</dcterms:created>
  <dcterms:modified xsi:type="dcterms:W3CDTF">2025-01-06T09:08:42Z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