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4\"/>
    </mc:Choice>
  </mc:AlternateContent>
  <xr:revisionPtr revIDLastSave="0" documentId="8_{8BA682FB-35E2-433B-BC93-60987C9157E9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1" i="2" l="1"/>
  <c r="E24" i="2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C25" i="2"/>
  <c r="AE25" i="2"/>
  <c r="AH25" i="2"/>
  <c r="AK25" i="2"/>
  <c r="AL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C26" i="2"/>
  <c r="AE26" i="2"/>
  <c r="AH26" i="2"/>
  <c r="AK26" i="2"/>
  <c r="AL26" i="2"/>
  <c r="AP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C27" i="2"/>
  <c r="AE27" i="2"/>
  <c r="AH27" i="2"/>
  <c r="AK27" i="2"/>
  <c r="AL27" i="2"/>
  <c r="AP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C28" i="2"/>
  <c r="AE28" i="2"/>
  <c r="AH28" i="2"/>
  <c r="AK28" i="2"/>
  <c r="AL28" i="2"/>
  <c r="AP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C29" i="2"/>
  <c r="AE29" i="2"/>
  <c r="AH29" i="2"/>
  <c r="AK29" i="2"/>
  <c r="AL29" i="2"/>
  <c r="AP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C30" i="2"/>
  <c r="AE30" i="2"/>
  <c r="AH30" i="2"/>
  <c r="AK30" i="2"/>
  <c r="AL30" i="2"/>
  <c r="AP30" i="2"/>
  <c r="E31" i="2"/>
  <c r="K31" i="2"/>
  <c r="L31" i="2"/>
  <c r="O31" i="2"/>
  <c r="P31" i="2"/>
  <c r="Q31" i="2"/>
  <c r="R31" i="2"/>
  <c r="U31" i="2"/>
  <c r="W31" i="2"/>
  <c r="X31" i="2"/>
  <c r="Y31" i="2"/>
  <c r="Z31" i="2"/>
  <c r="AB31" i="2"/>
  <c r="AC31" i="2"/>
  <c r="AE31" i="2"/>
  <c r="AH31" i="2"/>
  <c r="AK31" i="2"/>
  <c r="AL31" i="2"/>
  <c r="AP31" i="2"/>
  <c r="E32" i="2"/>
  <c r="K32" i="2"/>
  <c r="L32" i="2"/>
  <c r="O32" i="2"/>
  <c r="P32" i="2"/>
  <c r="Q32" i="2"/>
  <c r="R32" i="2"/>
  <c r="S32" i="2"/>
  <c r="U32" i="2"/>
  <c r="W32" i="2"/>
  <c r="X32" i="2"/>
  <c r="Y32" i="2"/>
  <c r="Z32" i="2"/>
  <c r="AB32" i="2"/>
  <c r="AC32" i="2"/>
  <c r="AE32" i="2"/>
  <c r="AH32" i="2"/>
  <c r="AK32" i="2"/>
  <c r="AL32" i="2"/>
  <c r="AP32" i="2"/>
  <c r="E33" i="2"/>
  <c r="K33" i="2"/>
  <c r="L33" i="2"/>
  <c r="O33" i="2"/>
  <c r="P33" i="2"/>
  <c r="Q33" i="2"/>
  <c r="R33" i="2"/>
  <c r="S33" i="2"/>
  <c r="U33" i="2"/>
  <c r="W33" i="2"/>
  <c r="X33" i="2"/>
  <c r="Y33" i="2"/>
  <c r="Z33" i="2"/>
  <c r="AB33" i="2"/>
  <c r="AC33" i="2"/>
  <c r="AE33" i="2"/>
  <c r="AH33" i="2"/>
  <c r="AK33" i="2"/>
  <c r="AL33" i="2"/>
  <c r="AP33" i="2"/>
  <c r="E34" i="2"/>
  <c r="M34" i="2"/>
  <c r="N34" i="2"/>
  <c r="O34" i="2"/>
  <c r="Q34" i="2"/>
  <c r="R34" i="2"/>
  <c r="T34" i="2"/>
  <c r="U34" i="2"/>
  <c r="X34" i="2"/>
  <c r="Y34" i="2"/>
  <c r="Z34" i="2"/>
  <c r="AA34" i="2"/>
  <c r="AB34" i="2"/>
  <c r="AD34" i="2"/>
  <c r="AC34" i="2" s="1"/>
  <c r="AH34" i="2"/>
  <c r="AL34" i="2"/>
  <c r="AM34" i="2"/>
  <c r="E35" i="2"/>
  <c r="M35" i="2"/>
  <c r="N35" i="2"/>
  <c r="O35" i="2"/>
  <c r="Q35" i="2"/>
  <c r="R35" i="2"/>
  <c r="T35" i="2"/>
  <c r="U35" i="2"/>
  <c r="X35" i="2"/>
  <c r="Y35" i="2"/>
  <c r="Z35" i="2"/>
  <c r="AA35" i="2"/>
  <c r="AB35" i="2"/>
  <c r="AD35" i="2"/>
  <c r="AC35" i="2" s="1"/>
  <c r="AL35" i="2"/>
  <c r="AM35" i="2"/>
  <c r="D5" i="1"/>
  <c r="B33" i="2"/>
  <c r="B32" i="2"/>
  <c r="B31" i="2"/>
  <c r="B30" i="2"/>
  <c r="B29" i="2"/>
  <c r="B28" i="2"/>
  <c r="B27" i="2"/>
  <c r="B26" i="2"/>
  <c r="B25" i="2"/>
  <c r="E15" i="2"/>
  <c r="E13" i="2"/>
  <c r="H6" i="2"/>
  <c r="H5" i="2"/>
  <c r="H4" i="2"/>
  <c r="E2" i="2"/>
  <c r="D13" i="1"/>
  <c r="C13" i="1"/>
  <c r="E16" i="2" s="1"/>
  <c r="C12" i="1"/>
  <c r="C11" i="1"/>
  <c r="E14" i="2" s="1"/>
  <c r="C10" i="1"/>
  <c r="C5" i="1"/>
  <c r="E12" i="2" s="1"/>
  <c r="C4" i="1"/>
  <c r="C3" i="1"/>
  <c r="C9" i="1" s="1"/>
  <c r="E11" i="2" s="1"/>
  <c r="D6" i="2" l="1"/>
  <c r="E6" i="2" s="1"/>
  <c r="D4" i="2"/>
  <c r="E4" i="2" s="1"/>
  <c r="D5" i="2"/>
  <c r="I6" i="2"/>
  <c r="I5" i="2"/>
  <c r="E5" i="2"/>
  <c r="C8" i="1"/>
  <c r="B35" i="2" l="1"/>
  <c r="B34" i="2"/>
  <c r="B24" i="2"/>
  <c r="AD37" i="2"/>
  <c r="AC37" i="2"/>
</calcChain>
</file>

<file path=xl/sharedStrings.xml><?xml version="1.0" encoding="utf-8"?>
<sst xmlns="http://schemas.openxmlformats.org/spreadsheetml/2006/main" count="1233" uniqueCount="466">
  <si>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</si>
  <si>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</si>
  <si>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</si>
  <si>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</si>
  <si>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</si>
  <si>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</si>
  <si>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</si>
  <si>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</si>
  <si>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</si>
  <si>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</si>
  <si>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</si>
  <si>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</si>
  <si>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</si>
  <si>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</si>
  <si>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</si>
  <si>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</si>
  <si>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</si>
  <si>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</si>
  <si>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</si>
  <si>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</si>
  <si>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</si>
  <si>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</si>
  <si>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</si>
  <si>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</si>
  <si>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</si>
  <si>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</si>
  <si>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</si>
  <si>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</si>
  <si>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</si>
  <si>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</si>
  <si>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</si>
  <si>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</si>
  <si>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</si>
  <si>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</si>
  <si>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</si>
  <si>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</si>
  <si>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</si>
  <si>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</si>
  <si>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</si>
  <si>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</si>
  <si>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</si>
  <si>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</si>
  <si>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</si>
  <si>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</si>
  <si>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</si>
  <si>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</si>
  <si>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</si>
  <si>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</si>
  <si>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</si>
  <si>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</si>
  <si>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</si>
  <si>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</si>
  <si>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</si>
  <si>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</si>
  <si>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</si>
  <si>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</si>
  <si>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</si>
  <si>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</si>
  <si>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</si>
  <si>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</si>
  <si>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</si>
  <si>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</si>
  <si>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</si>
  <si>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</si>
  <si>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</si>
  <si>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</si>
  <si>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</si>
  <si>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</si>
  <si>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</si>
  <si>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</si>
  <si>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</si>
  <si>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</si>
  <si>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</si>
  <si>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</si>
  <si>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</si>
  <si>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</si>
  <si>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</si>
  <si>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</si>
  <si>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</si>
  <si>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</si>
  <si>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</si>
  <si>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</si>
  <si>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</si>
  <si>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</si>
  <si>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</si>
  <si>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</si>
  <si>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</si>
  <si>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</si>
  <si>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</si>
  <si>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</si>
  <si>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</si>
  <si>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</si>
  <si>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</si>
  <si>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</si>
  <si>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</si>
  <si>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</si>
  <si>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</si>
  <si>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</si>
  <si>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</si>
  <si>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</si>
  <si>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</si>
  <si>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</si>
  <si>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</si>
  <si>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</si>
  <si>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</si>
  <si>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</si>
  <si>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</si>
  <si>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</si>
  <si>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</si>
  <si>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</si>
  <si>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</si>
  <si>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</si>
  <si>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</si>
  <si>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</si>
  <si>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</si>
  <si>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</si>
  <si>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</si>
  <si>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</si>
  <si>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</si>
  <si>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</si>
  <si>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</si>
  <si>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</si>
  <si>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</si>
  <si>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</si>
  <si>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</si>
  <si>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</si>
  <si>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</si>
  <si>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</si>
  <si>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</si>
  <si>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</si>
  <si>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</si>
  <si>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</si>
  <si>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</si>
  <si>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</si>
  <si>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</si>
  <si>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</si>
  <si>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</si>
  <si>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</si>
  <si>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</si>
  <si>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</si>
  <si>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</si>
  <si>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</si>
  <si>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</si>
  <si>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</si>
  <si>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</si>
  <si>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</si>
  <si>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</si>
  <si>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</si>
  <si>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</si>
  <si>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</si>
  <si>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</si>
  <si>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</si>
  <si>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</si>
  <si>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</si>
  <si>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</si>
  <si>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</si>
  <si>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</si>
  <si>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</si>
  <si>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</si>
  <si>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</si>
  <si>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</si>
  <si>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</si>
  <si>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</si>
  <si>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</si>
  <si>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</si>
  <si>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</si>
  <si>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</si>
  <si>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</si>
  <si>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</si>
  <si>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</si>
  <si>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</si>
  <si>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</si>
  <si>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</si>
  <si>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</si>
  <si>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</si>
  <si>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</si>
  <si>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</si>
  <si>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</si>
  <si>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</si>
  <si>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</si>
  <si>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</si>
  <si>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</si>
  <si>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</si>
  <si>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</si>
  <si>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</si>
  <si>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</si>
  <si>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</si>
  <si>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</si>
  <si>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</si>
  <si>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</si>
  <si>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</si>
  <si>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</si>
  <si>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</si>
  <si>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</si>
  <si>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</si>
  <si>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</si>
  <si>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</si>
  <si>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</si>
  <si>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</si>
  <si>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</si>
  <si>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</si>
  <si>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</si>
  <si>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</si>
  <si>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</si>
  <si>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</si>
  <si>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</si>
  <si>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</si>
  <si>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</si>
  <si>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</si>
  <si>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</si>
  <si>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</si>
  <si>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</si>
  <si>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</si>
  <si>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</si>
  <si>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</si>
  <si>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</si>
  <si>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</si>
  <si>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</si>
  <si>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</si>
  <si>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</si>
  <si>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</si>
  <si>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</si>
  <si>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</si>
  <si>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</si>
  <si>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</si>
  <si>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</si>
  <si>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</si>
  <si>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</si>
  <si>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</si>
  <si>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</si>
  <si>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</si>
  <si>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</si>
  <si>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</si>
  <si>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</si>
  <si>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</si>
  <si>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</si>
  <si>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</si>
  <si>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</si>
  <si>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</si>
  <si>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</si>
  <si>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</si>
  <si>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</si>
  <si>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</si>
  <si>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</si>
  <si>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</si>
  <si>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</si>
  <si>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</si>
  <si>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</si>
  <si>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</si>
  <si>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</si>
  <si>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</si>
  <si>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</si>
  <si>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</si>
  <si>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</si>
  <si>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</si>
  <si>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</si>
  <si>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</si>
  <si>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</si>
  <si>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</si>
  <si>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</si>
  <si>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</si>
  <si>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</si>
  <si>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</si>
  <si>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</si>
  <si>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</si>
  <si>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</si>
  <si>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</si>
  <si>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</si>
  <si>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</si>
  <si>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</si>
  <si>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</si>
  <si>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</si>
  <si>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</si>
  <si>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</si>
  <si>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="01/09/2024"</t>
  </si>
  <si>
    <t>="30/09/2024"</t>
  </si>
  <si>
    <t>="""UICACS"","""",""SQL="",""2=DOCNUM"",""33036373"",""14=CUSTREF"",""8100000165"",""14=U_CUSTREF"",""8100000165"",""15=DOCDATE"",""2/9/2024"",""15=TAXDATE"",""2/9/2024"",""14=CARDCODE"",""CI0099-SGD"",""14=CARDNAME"",""SYNAPXE PTE. LTD."",""14=ITEMCODE"",""MS9EA-00264GLP"",""14=ITEMNAME"",""MS WI"&amp;"N SERVER DC CORE SLNG SA 16L"",""10=QUANTITY"",""78.000000"",""14=U_PONO"",""951035/A"",""15=U_PODATE"",""27/6/2024"",""10=U_TLINTCOS"",""0.000000"",""2=SLPCODE"",""132"",""14=SLPNAME"",""E0001-CS"",""14=MEMO"",""WENDY KUM CHIOU SZE"",""14=CONTACTNAME"",""E-INVOICE(AP DIRECT)"",""10=LINET"&amp;"OTAL"",""300467.700000"",""14=U_ENR"","""",""14=U_MSENR"",""S7138270"",""14=U_MSPCN"",""AD5A91AA"",""14=ADDRESS2"",""GOPAL VENKATESAN_x000D_SYNAPXE PTE. LTD. 1 NORTH BUONA VISTA LINK, ELEMENTUM, #05-01 SINGAPORE 139691_x000D_GOPAL VENKATESAN_x000D_TEL: 81480109_x000D_FAX: _x000D_EMAIL: venkatesan.gopal"&amp;"@synapxe.sg"""</t>
  </si>
  <si>
    <t>="""UICACS"","""",""SQL="",""2=DOCNUM"",""33036394"",""14=CUSTREF"",""7100000043"",""14=U_CUSTREF"",""7100000043"",""15=DOCDATE"",""4/9/2024"",""15=TAXDATE"",""4/9/2024"",""14=CARDCODE"",""CI0099-SGD"",""14=CARDNAME"",""SYNAPXE PTE. LTD."",""14=ITEMCODE"",""MS7JQ-00355GLP"",""14=ITEMNAME"",""MS SQ"&amp;"L SERVER ENTERPRISE CORE SLNG SA 2L"",""10=QUANTITY"",""10.000000"",""14=U_PONO"",""952268"",""15=U_PODATE"",""30/8/2024"",""10=U_TLINTCOS"",""0.000000"",""2=SLPCODE"",""132"",""14=SLPNAME"",""E0001-CS"",""14=MEMO"",""WENDY KUM CHIOU SZE"",""14=CONTACTNAME"",""E-INVOICE(AP DIRECT)"",""10="&amp;"LINETOTAL"",""33760.000000"",""14=U_ENR"","""",""14=U_MSENR"",""S7138270"",""14=U_MSPCN"",""AD5A91AA"",""14=ADDRESS2"",""CLARENCE WANG LU WEI_x000D_SYNAPXE PTE LTD 1 NORTH BUONA VISTA LINK #05-01 ELEMENTUM SINGAPORE 139691_x000D_CLARENCE WANG LU WEI_x000D_TEL: _x000D_FAX: jeyaraj.rajadurai@synapx"&amp;"e.sg_x000D_EMAIL: clarence.wang@synapxe.sg"""</t>
  </si>
  <si>
    <t>="""UICACS"","""",""SQL="",""2=DOCNUM"",""33036394"",""14=CUSTREF"",""7100000043"",""14=U_CUSTREF"",""7100000043"",""15=DOCDATE"",""4/9/2024"",""15=TAXDATE"",""4/9/2024"",""14=CARDCODE"",""CI0099-SGD"",""14=CARDNAME"",""SYNAPXE PTE. LTD."",""14=ITEMCODE"",""MS6VC-01290GLP"",""14=ITEMNAME"",""MS WI"&amp;"NRMTDSKTPSRVCSCAL SNGL SA MVL USRCAL"",""10=QUANTITY"",""170.000000"",""14=U_PONO"",""952268"",""15=U_PODATE"",""30/8/2024"",""10=U_TLINTCOS"",""0.000000"",""2=SLPCODE"",""132"",""14=SLPNAME"",""E0001-CS"",""14=MEMO"",""WENDY KUM CHIOU SZE"",""14=CONTACTNAME"",""E-INVOICE(AP DIRECT)"",""1"&amp;"0=LINETOTAL"",""5594.700000"",""14=U_ENR"","""",""14=U_MSENR"",""S7138270"",""14=U_MSPCN"",""AD5A91AA"",""14=ADDRESS2"",""CLARENCE WANG LU WEI_x000D_SYNAPXE PTE LTD 1 NORTH BUONA VISTA LINK #05-01 ELEMENTUM SINGAPORE 139691_x000D_CLARENCE WANG LU WEI_x000D_TEL: _x000D_FAX: jeyaraj.rajadurai@synap"&amp;"xe.sg_x000D_EMAIL: clarence.wang@synapxe.sg"""</t>
  </si>
  <si>
    <t>="""UICACS"","""",""SQL="",""2=DOCNUM"",""33036421"",""14=CUSTREF"",""7100000048"",""14=U_CUSTREF"",""7100000048"",""15=DOCDATE"",""10/9/2024"",""15=TAXDATE"",""10/9/2024"",""14=CARDCODE"",""CI0099-SGD"",""14=CARDNAME"",""SYNAPXE PTE. LTD."",""14=ITEMCODE"",""MS77D-00110GLP"",""14=ITEMNAME"",""MS "&amp;"VISUAL STUDIO PRO MSDN ALNG LSA"",""10=QUANTITY"",""39.000000"",""14=U_PONO"",""952391"",""15=U_PODATE"",""9/9/2024"",""10=U_TLINTCOS"",""0.000000"",""2=SLPCODE"",""132"",""14=SLPNAME"",""E0001-CS"",""14=MEMO"",""WENDY KUM CHIOU SZE"",""14=CONTACTNAME"",""E-INVOICE(AP DIRECT)"",""10=LINET"&amp;"OTAL"",""18954.000000"",""14=U_ENR"","""",""14=U_MSENR"",""S7138270"",""14=U_MSPCN"",""AD5A91AA"",""14=ADDRESS2"",""NANDINI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felicia.lin@synapxe.s"&amp;"g_x000D_EMAIL: nandini.sivasubramaniam@synapxe.sg"""</t>
  </si>
  <si>
    <t>=MONTH(N28)</t>
  </si>
  <si>
    <t>=YEAR(N28)</t>
  </si>
  <si>
    <t>=IFERROR(NF($E28,"U_MSPCN"),"-")</t>
  </si>
  <si>
    <t>=IFERROR(NF($E28,"U_PONo"),"-")</t>
  </si>
  <si>
    <t>=IFERROR(NF($E28,"U_PODate"),"-")</t>
  </si>
  <si>
    <t>=IFERROR(NF($E28,"U_CustRef"),"-")</t>
  </si>
  <si>
    <t>=IFERROR(NF($E28,"DocDate"),"-")</t>
  </si>
  <si>
    <t>=SUM(N28-T28)</t>
  </si>
  <si>
    <t>=IFERROR(NF($E28,"U_BPurDisc"),"-")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</si>
  <si>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</si>
  <si>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</si>
  <si>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</si>
  <si>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</si>
  <si>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="""UICACS"","""",""SQL="",""2=DOCNUM"",""33036421"",""14=CUSTREF"",""7100000048"",""14=U_CUSTREF"",""7100000048"",""15=DOCDATE"",""10/9/2024"",""15=TAXDATE"",""10/9/2024"",""14=CARDCODE"",""CI0099-SGD"",""14=CARDNAME"",""SYNAPXE PTE. LTD."",""14=ITEMCODE"",""MS77D-00110GLP"",""14=ITEMNAME"",""MS "&amp;"VISUAL STUDIO PRO MSDN ALNG LSA"",""10=QUANTITY"",""1.000000"",""14=U_PONO"",""952391"",""15=U_PODATE"",""9/9/2024"",""10=U_TLINTCOS"",""0.000000"",""2=SLPCODE"",""132"",""14=SLPNAME"",""E0001-CS"",""14=MEMO"",""WENDY KUM CHIOU SZE"",""14=CONTACTNAME"",""E-INVOICE(AP DIRECT)"",""10=LINETO"&amp;"TAL"",""486.150000"",""14=U_ENR"","""",""14=U_MSENR"",""S7138270"",""14=U_MSPCN"",""AD5A91AA"",""14=ADDRESS2"",""NANDINI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felicia.lin@synapxe.sg_x000D_E"&amp;"MAIL: nandini.sivasubramaniam@synapxe.sg"""</t>
  </si>
  <si>
    <t>=MONTH(N29)</t>
  </si>
  <si>
    <t>=YEAR(N29)</t>
  </si>
  <si>
    <t>=IFERROR(NF($E29,"U_MSPCN"),"-")</t>
  </si>
  <si>
    <t>=IFERROR(NF($E29,"U_PONo"),"-")</t>
  </si>
  <si>
    <t>=IFERROR(NF($E29,"U_PODate"),"-")</t>
  </si>
  <si>
    <t>=IFERROR(NF($E29,"U_CustRef"),"-")</t>
  </si>
  <si>
    <t>=IFERROR(NF($E29,"DocDate"),"-")</t>
  </si>
  <si>
    <t>=SUM(N29-T29)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</si>
  <si>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</si>
  <si>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</si>
  <si>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</si>
  <si>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</si>
  <si>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</si>
  <si>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</si>
  <si>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</si>
  <si>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="""UICACS"","""",""SQL="",""2=DOCNUM"",""33036471"",""14=CUSTREF"",""9451013760"",""14=U_CUSTREF"",""9451013760"",""15=DOCDATE"",""17/9/2024"",""15=TAXDATE"",""17/9/2024"",""14=CARDCODE"",""CA0216-SGD"",""14=CARDNAME"",""AGENCY FOR INTEGRATED CARE PTE. LTD."",""14=ITEMCODE"",""MS7NQ-00300GLP"""&amp;",""14=ITEMNAME"",""MS SQL SERVER STANDARD CORE SLNG LSA 2L"",""10=QUANTITY"",""2.000000"",""14=U_PONO"",""952539"",""15=U_PODATE"",""16/9/2024"",""10=U_TLINTCOS"",""0.000000"",""2=SLPCODE"",""132"",""14=SLPNAME"",""E0001-CS"",""14=MEMO"",""WENDY KUM CHIOU SZE"",""14=CONTACTNAME"",""YVONNE "&amp;"YAP YEN WUN"",""10=LINETOTAL"",""10884.300000"",""14=U_ENR"","""",""14=U_MSENR"",""S7138270"",""14=U_MSPCN"",""A807846F"",""14=ADDRESS2"",""YVONNE YAP YEN WUN_x000D_AGENCY FOR INTEGRATED CARE PTE. LTD. 5 MAXWELL ROAD, #10-00 TOWER BLOCK, MND COMPLEX SINGAPORE 069110_x000D_YVONNE YAP YEN"&amp;" WUN_x000D_TEL: 91446959_x000D_FAX: _x000D_EMAIL: YVONNE.YAP@SYNAPXE.SG"""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</si>
  <si>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</si>
  <si>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</si>
  <si>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</si>
  <si>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</si>
  <si>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</si>
  <si>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</si>
  <si>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</si>
  <si>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</si>
  <si>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=IFERROR(NF($E30,"U_PONo"),"-")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</si>
  <si>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</si>
  <si>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</si>
  <si>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</si>
  <si>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</si>
  <si>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</si>
  <si>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</si>
  <si>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</si>
  <si>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</si>
  <si>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</si>
  <si>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</si>
  <si>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</si>
  <si>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</si>
  <si>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</si>
  <si>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</si>
  <si>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</si>
  <si>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</si>
  <si>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</si>
  <si>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</si>
  <si>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="""UICACS"","""",""SQL="",""2=DOCNUM"",""33036483"",""14=CUSTREF"",""8100000422"",""14=U_CUSTREF"",""8100000422"",""15=DOCDATE"",""19/9/2024"",""15=TAXDATE"",""19/9/2024"",""14=CARDCODE"",""CI0099-SGD"",""14=CARDNAME"",""SYNAPXE PTE. LTD."",""14=ITEMCODE"",""MS7JQ-00355GLP"",""14=ITEMNAME"",""MS "&amp;"SQL SERVER ENTERPRISE CORE SLNG SA 2L"",""10=QUANTITY"",""8.000000"",""14=U_PONO"",""ESU952562"",""15=U_PODATE"",""16/9/2024"",""10=U_TLINTCOS"",""0.000000"",""2=SLPCODE"",""101"",""14=SLPNAME"",""E0001-MM"",""14=MEMO"",""MELIZA MARQUEZ"",""14=CONTACTNAME"",""E-INVOICE(AP DIRECT)"",""10=L"&amp;"INETOTAL"",""56845.200000"",""14=U_ENR"","""",""14=U_MSENR"",""S7138270"",""14=U_MSPCN"",""AB57EDFE"",""14=ADDRESS2"",""PHYLLIS SEE CHAI HOON_x000D_SYNAPXE PTE LTD. 6 SERANGOON NORTH AVENUE 5, #01-01/02  SINGAPORE 554910_x000D__x000D_TEL: 1800-796-2793_x000D_FAX: _x000D_EMAIL: phyllis.see@synapxe.sg"""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</si>
  <si>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</si>
  <si>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</si>
  <si>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</si>
  <si>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</si>
  <si>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</si>
  <si>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</si>
  <si>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</si>
  <si>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</si>
  <si>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=IFERROR(NF($E31,"U_PONo"),"-")</t>
  </si>
  <si>
    <t>=IFERROR(NF($E31,"U_PODate"),"-")</t>
  </si>
  <si>
    <t>=IFERROR(NF($E31,"U_CustRef"),"-")</t>
  </si>
  <si>
    <t>=IFERROR(NF($E31,"DocDate"),"-")</t>
  </si>
  <si>
    <t>=SUM(N31-T31)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</si>
  <si>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</si>
  <si>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</si>
  <si>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</si>
  <si>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</si>
  <si>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</si>
  <si>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</si>
  <si>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</si>
  <si>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</si>
  <si>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</si>
  <si>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</si>
  <si>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</si>
  <si>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</si>
  <si>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</si>
  <si>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=IF(M32="","Hide","Show")</t>
  </si>
  <si>
    <t>="""UICACS"","""",""SQL="",""2=DOCNUM"",""33036523"",""14=CUSTREF"",""7100000052"",""14=U_CUSTREF"",""7100000052"",""15=DOCDATE"",""25/9/2024"",""15=TAXDATE"",""25/9/2024"",""14=CARDCODE"",""CI0099-SGD"",""14=CARDNAME"",""SYNAPXE PTE. LTD."",""14=ITEMCODE"",""MS7NQ-00300GLP"",""14=ITEMNAME"",""MS "&amp;"SQL SERVER STANDARD CORE SLNG LSA 2L"",""10=QUANTITY"",""2.000000"",""14=U_PONO"",""952679"",""15=U_PODATE"",""24/9/2024"",""10=U_TLINTCOS"",""0.000000"",""2=SLPCODE"",""132"",""14=SLPNAME"",""E0001-CS"",""14=MEMO"",""WENDY KUM CHIOU SZE"",""14=CONTACTNAME"",""E-INVOICE(AP DIRECT)"",""10="&amp;"LINETOTAL"",""11802.740000"",""14=U_ENR"","""",""14=U_MSENR"",""S7138270"",""14=U_MSPCN"",""AD5A91AA"",""14=ADDRESS2"",""JAWAHAR HUSSAIN RAJAMOHAMED_x000D_SYNAPXE PTE. LTD. 1 NORTH BUONA VISTA LINK #05-01 ELEMENTUM SINGAPORE 139691_x000D_JAWAHAR HUSSAIN RAJAMOHAMED_x000D_TEL: _x000D_FAX: _x000D_EMAIL: "&amp;"JAWAHAR.HUSSAIN.RAJAMOHAMED@SYNAPXE.SG"""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</si>
  <si>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</si>
  <si>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</si>
  <si>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</si>
  <si>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</si>
  <si>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</si>
  <si>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</si>
  <si>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</si>
  <si>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</si>
  <si>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=IFERROR(NF($E32,"U_PONo"),"-")</t>
  </si>
  <si>
    <t>=IFERROR(NF($E32,"U_PODate"),"-")</t>
  </si>
  <si>
    <t>=IFERROR(NF($E32,"U_CustRef"),"-")</t>
  </si>
  <si>
    <t>=IFERROR(NF($E32,"DocDate"),"-")</t>
  </si>
  <si>
    <t>=SUM(N32-T32)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</si>
  <si>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</si>
  <si>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</si>
  <si>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</si>
  <si>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</si>
  <si>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</si>
  <si>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</si>
  <si>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</si>
  <si>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</si>
  <si>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</si>
  <si>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</si>
  <si>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</si>
  <si>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</si>
  <si>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</si>
  <si>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=IF(M33="","Hide","Show")</t>
  </si>
  <si>
    <t>="""UICACS"","""",""SQL="",""2=DOCNUM"",""33036603"",""14=CUSTREF"",""8100000458"",""14=U_CUSTREF"",""8100000458"",""15=DOCDATE"",""27/9/2024"",""15=TAXDATE"",""27/9/2024"",""14=CARDCODE"",""CI0099-SGD"",""14=CARDNAME"",""SYNAPXE PTE. LTD."",""14=ITEMCODE"",""MS6VC-01288GLP"",""14=ITEMNAME"",""MS "&amp;"WIN REMOTE DESKTOP SERVICES CAL SLNG LSA UCAL"",""10=QUANTITY"",""10.000000"",""14=U_PONO"",""952774"",""15=U_PODATE"",""26/9/2024"",""10=U_TLINTCOS"",""0.000000"",""2=SLPCODE"",""132"",""14=SLPNAME"",""E0001-CS"",""14=MEMO"",""WENDY KUM CHIOU SZE"",""14=CONTACTNAME"",""E-INVOICE(AP DIR"&amp;"ECT)"",""10=LINETOTAL"",""2184.600000"",""14=U_ENR"","""",""14=U_MSENR"",""S7138270"",""14=U_MSPCN"",""AD5A91AA"",""14=ADDRESS2"",""LAWRENCE OH_x000D_SYNAPXE PTE. LTD. 1 NORTH BUONA VISTA LINK #05-01 ELEMENTUM SINGAPORE 139691_x000D_LAWRENCE OH_x000D_TEL: 85281120_x000D_FAX: _x000D_EMAIL: LAWRENCE.OH@SYN"&amp;"APXE.SG"""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</si>
  <si>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</si>
  <si>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</si>
  <si>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</si>
  <si>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</si>
  <si>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</si>
  <si>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</si>
  <si>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</si>
  <si>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</si>
  <si>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=IFERROR(NF($E33,"U_PONo"),"-")</t>
  </si>
  <si>
    <t>=IFERROR(NF($E33,"U_PODate"),"-")</t>
  </si>
  <si>
    <t>=IFERROR(NF($E33,"U_CustRef"),"-")</t>
  </si>
  <si>
    <t>=IFERROR(NF($E33,"DocDate"),"-")</t>
  </si>
  <si>
    <t>=SUM(N33-T33)</t>
  </si>
  <si>
    <t>=IFERROR(NF($E33,"ITEMCODE"),"-")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</si>
  <si>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</si>
  <si>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</si>
  <si>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</si>
  <si>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</si>
  <si>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=IFERROR(AD33/AA33,0)</t>
  </si>
  <si>
    <t>=IFERROR(NF($E33,"LINETOTAL"),"-")</t>
  </si>
  <si>
    <t>=IFERROR(NF($E33,"U_BPurDisc"),"-")</t>
  </si>
  <si>
    <t>=IFERROR(NF($E33,"ADDRESS2"),"-")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</si>
  <si>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</si>
  <si>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</si>
  <si>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</si>
  <si>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</si>
  <si>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=IF(M34="","Hide","Show")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</si>
  <si>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</si>
  <si>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</si>
  <si>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</si>
  <si>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</si>
  <si>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</si>
  <si>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</si>
  <si>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</si>
  <si>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</si>
  <si>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</si>
  <si>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</si>
  <si>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</si>
  <si>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=IFERROR(AD34/AA34,0)</t>
  </si>
  <si>
    <t>=IFERROR(NF($E34,"LINETOTAL"),"-")</t>
  </si>
  <si>
    <t>=IFERROR(NF($E34,"ADDRESS2"),"-")</t>
  </si>
  <si>
    <t>=IFERROR(NF($E34,"U_PODATE"),"-")</t>
  </si>
  <si>
    <t>=IFERROR(NF($E34,"U_PONO"),"-")</t>
  </si>
  <si>
    <t>=IF(M35="","Hide","Show")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</si>
  <si>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</si>
  <si>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</si>
  <si>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</si>
  <si>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</si>
  <si>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</si>
  <si>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</si>
  <si>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</si>
  <si>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</si>
  <si>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</si>
  <si>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</si>
  <si>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</si>
  <si>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=IFERROR(AD35/AA35,0)</t>
  </si>
  <si>
    <t>=IFERROR(NF($E35,"LINETOTAL"),"-")</t>
  </si>
  <si>
    <t>=IFERROR(NF($E35,"U_PODATE"),"-")</t>
  </si>
  <si>
    <t>=IFERROR(NF($E35,"U_PONO"),"-")</t>
  </si>
  <si>
    <t>=SUBTOTAL(9,AO24:AO36)</t>
  </si>
  <si>
    <t>=SUBTOTAL(9,AP24:AP36)</t>
  </si>
  <si>
    <t>01.09.2024</t>
  </si>
  <si>
    <t>30.06.2027</t>
  </si>
  <si>
    <t>SA RENEWAL</t>
  </si>
  <si>
    <t>31.08.2025</t>
  </si>
  <si>
    <t>01.10.2024</t>
  </si>
  <si>
    <t>30.09.2025</t>
  </si>
  <si>
    <t>LICENSE WITH SA</t>
  </si>
  <si>
    <t>31.10.2026</t>
  </si>
  <si>
    <t>31.10.2027</t>
  </si>
  <si>
    <t>PO RECEIVED ON 27/6/2024. USAGE CAN ONLY LOAD IN 1 SEP 2024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</si>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</sst>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"01/09/2024"</f>
        <v>01/09/2024</v>
      </c>
    </row>
    <row r="4" spans="1:7">
      <c r="A4" s="1" t="s">
        <v>0</v>
      </c>
      <c r="B4" s="4" t="s">
        <v>6</v>
      </c>
      <c r="C4" s="5" t="str">
        <f>"30/09/2024"</f>
        <v>30/09/2024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01/Sep/2024..30/Sep/2024</v>
      </c>
    </row>
    <row r="9" spans="1:7">
      <c r="A9" s="1" t="s">
        <v>9</v>
      </c>
      <c r="C9" s="3" t="str">
        <f>TEXT($C$3,"yyyyMMdd") &amp; ".." &amp; TEXT($C$4,"yyyyMMdd")</f>
        <v>20240901..20240930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9CC51-179A-4456-B904-C8331919BC95}">
  <dimension ref="A1:AV37"/>
  <sheetViews>
    <sheetView workbookViewId="0"/>
  </sheetViews>
  <sheetFormatPr defaultRowHeight="15"/>
  <sheetData>
    <row r="1" spans="1:48">
      <c r="A1" s="68" t="s">
        <v>150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A25" s="68" t="s">
        <v>136</v>
      </c>
      <c r="B25" s="68" t="s">
        <v>127</v>
      </c>
      <c r="C25" s="68" t="s">
        <v>48</v>
      </c>
      <c r="E25" s="68" t="s">
        <v>276</v>
      </c>
      <c r="K25" s="68" t="s">
        <v>140</v>
      </c>
      <c r="L25" s="68" t="s">
        <v>141</v>
      </c>
      <c r="M25" s="68" t="s">
        <v>173</v>
      </c>
      <c r="N25" s="68" t="s">
        <v>174</v>
      </c>
      <c r="O25" s="68" t="s">
        <v>175</v>
      </c>
      <c r="P25" s="68" t="s">
        <v>176</v>
      </c>
      <c r="Q25" s="68" t="s">
        <v>177</v>
      </c>
      <c r="R25" s="68" t="s">
        <v>178</v>
      </c>
      <c r="S25" s="68" t="s">
        <v>271</v>
      </c>
      <c r="T25" s="68" t="s">
        <v>180</v>
      </c>
      <c r="U25" s="68" t="s">
        <v>181</v>
      </c>
      <c r="V25" s="68" t="s">
        <v>182</v>
      </c>
      <c r="W25" s="68" t="s">
        <v>142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E25" s="68" t="s">
        <v>189</v>
      </c>
      <c r="AF25" s="68" t="s">
        <v>188</v>
      </c>
      <c r="AG25" s="68" t="s">
        <v>95</v>
      </c>
      <c r="AH25" s="68" t="s">
        <v>190</v>
      </c>
      <c r="AJ25" s="68" t="s">
        <v>96</v>
      </c>
      <c r="AK25" s="68" t="s">
        <v>183</v>
      </c>
      <c r="AL25" s="68" t="s">
        <v>184</v>
      </c>
      <c r="AM25" s="68" t="s">
        <v>191</v>
      </c>
      <c r="AN25" s="68" t="s">
        <v>192</v>
      </c>
      <c r="AO25" s="68" t="s">
        <v>193</v>
      </c>
      <c r="AP25" s="68" t="s">
        <v>194</v>
      </c>
    </row>
    <row r="26" spans="1:42">
      <c r="A26" s="68" t="s">
        <v>136</v>
      </c>
      <c r="B26" s="68" t="s">
        <v>130</v>
      </c>
      <c r="C26" s="68" t="s">
        <v>48</v>
      </c>
      <c r="E26" s="68" t="s">
        <v>277</v>
      </c>
      <c r="K26" s="68" t="s">
        <v>143</v>
      </c>
      <c r="L26" s="68" t="s">
        <v>144</v>
      </c>
      <c r="M26" s="68" t="s">
        <v>195</v>
      </c>
      <c r="N26" s="68" t="s">
        <v>196</v>
      </c>
      <c r="O26" s="68" t="s">
        <v>197</v>
      </c>
      <c r="P26" s="68" t="s">
        <v>198</v>
      </c>
      <c r="Q26" s="68" t="s">
        <v>199</v>
      </c>
      <c r="R26" s="68" t="s">
        <v>200</v>
      </c>
      <c r="S26" s="68" t="s">
        <v>272</v>
      </c>
      <c r="T26" s="68" t="s">
        <v>202</v>
      </c>
      <c r="U26" s="68" t="s">
        <v>203</v>
      </c>
      <c r="V26" s="68" t="s">
        <v>204</v>
      </c>
      <c r="W26" s="68" t="s">
        <v>145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E26" s="68" t="s">
        <v>211</v>
      </c>
      <c r="AF26" s="68" t="s">
        <v>210</v>
      </c>
      <c r="AG26" s="68" t="s">
        <v>95</v>
      </c>
      <c r="AH26" s="68" t="s">
        <v>212</v>
      </c>
      <c r="AJ26" s="68" t="s">
        <v>96</v>
      </c>
      <c r="AK26" s="68" t="s">
        <v>205</v>
      </c>
      <c r="AL26" s="68" t="s">
        <v>206</v>
      </c>
      <c r="AM26" s="68" t="s">
        <v>213</v>
      </c>
      <c r="AN26" s="68" t="s">
        <v>214</v>
      </c>
      <c r="AO26" s="68" t="s">
        <v>215</v>
      </c>
      <c r="AP26" s="68" t="s">
        <v>216</v>
      </c>
    </row>
    <row r="27" spans="1:42">
      <c r="A27" s="68" t="s">
        <v>136</v>
      </c>
      <c r="B27" s="68" t="s">
        <v>146</v>
      </c>
      <c r="C27" s="68" t="s">
        <v>48</v>
      </c>
      <c r="E27" s="68" t="s">
        <v>278</v>
      </c>
      <c r="K27" s="68" t="s">
        <v>217</v>
      </c>
      <c r="L27" s="68" t="s">
        <v>218</v>
      </c>
      <c r="M27" s="68" t="s">
        <v>219</v>
      </c>
      <c r="N27" s="68" t="s">
        <v>220</v>
      </c>
      <c r="O27" s="68" t="s">
        <v>221</v>
      </c>
      <c r="P27" s="68" t="s">
        <v>222</v>
      </c>
      <c r="Q27" s="68" t="s">
        <v>223</v>
      </c>
      <c r="R27" s="68" t="s">
        <v>224</v>
      </c>
      <c r="S27" s="68" t="s">
        <v>273</v>
      </c>
      <c r="T27" s="68" t="s">
        <v>225</v>
      </c>
      <c r="U27" s="68" t="s">
        <v>226</v>
      </c>
      <c r="V27" s="68" t="s">
        <v>227</v>
      </c>
      <c r="W27" s="68" t="s">
        <v>228</v>
      </c>
      <c r="X27" s="68" t="s">
        <v>229</v>
      </c>
      <c r="Y27" s="68" t="s">
        <v>230</v>
      </c>
      <c r="Z27" s="68" t="s">
        <v>231</v>
      </c>
      <c r="AA27" s="68" t="s">
        <v>232</v>
      </c>
      <c r="AB27" s="68" t="s">
        <v>233</v>
      </c>
      <c r="AC27" s="68" t="s">
        <v>147</v>
      </c>
      <c r="AD27" s="68" t="s">
        <v>234</v>
      </c>
      <c r="AE27" s="68" t="s">
        <v>235</v>
      </c>
      <c r="AF27" s="68" t="s">
        <v>234</v>
      </c>
      <c r="AG27" s="68" t="s">
        <v>95</v>
      </c>
      <c r="AH27" s="68" t="s">
        <v>236</v>
      </c>
      <c r="AJ27" s="68" t="s">
        <v>96</v>
      </c>
      <c r="AK27" s="68" t="s">
        <v>229</v>
      </c>
      <c r="AL27" s="68" t="s">
        <v>230</v>
      </c>
      <c r="AM27" s="68" t="s">
        <v>237</v>
      </c>
      <c r="AN27" s="68" t="s">
        <v>238</v>
      </c>
      <c r="AO27" s="68" t="s">
        <v>239</v>
      </c>
      <c r="AP27" s="68" t="s">
        <v>240</v>
      </c>
    </row>
    <row r="28" spans="1:42">
      <c r="A28" s="68" t="s">
        <v>136</v>
      </c>
      <c r="B28" s="68" t="s">
        <v>148</v>
      </c>
      <c r="C28" s="68" t="s">
        <v>48</v>
      </c>
      <c r="E28" s="68" t="s">
        <v>279</v>
      </c>
      <c r="K28" s="68" t="s">
        <v>280</v>
      </c>
      <c r="L28" s="68" t="s">
        <v>281</v>
      </c>
      <c r="M28" s="68" t="s">
        <v>241</v>
      </c>
      <c r="N28" s="68" t="s">
        <v>242</v>
      </c>
      <c r="O28" s="68" t="s">
        <v>243</v>
      </c>
      <c r="P28" s="68" t="s">
        <v>282</v>
      </c>
      <c r="Q28" s="68" t="s">
        <v>244</v>
      </c>
      <c r="R28" s="68" t="s">
        <v>245</v>
      </c>
      <c r="S28" s="68" t="s">
        <v>283</v>
      </c>
      <c r="T28" s="68" t="s">
        <v>284</v>
      </c>
      <c r="U28" s="68" t="s">
        <v>285</v>
      </c>
      <c r="V28" s="68" t="s">
        <v>286</v>
      </c>
      <c r="W28" s="68" t="s">
        <v>287</v>
      </c>
      <c r="X28" s="68" t="s">
        <v>246</v>
      </c>
      <c r="Y28" s="68" t="s">
        <v>247</v>
      </c>
      <c r="Z28" s="68" t="s">
        <v>248</v>
      </c>
      <c r="AA28" s="68" t="s">
        <v>249</v>
      </c>
      <c r="AB28" s="68" t="s">
        <v>250</v>
      </c>
      <c r="AC28" s="68" t="s">
        <v>149</v>
      </c>
      <c r="AD28" s="68" t="s">
        <v>251</v>
      </c>
      <c r="AE28" s="68" t="s">
        <v>288</v>
      </c>
      <c r="AF28" s="68" t="s">
        <v>251</v>
      </c>
      <c r="AG28" s="68" t="s">
        <v>95</v>
      </c>
      <c r="AH28" s="68" t="s">
        <v>252</v>
      </c>
      <c r="AJ28" s="68" t="s">
        <v>96</v>
      </c>
      <c r="AK28" s="68" t="s">
        <v>246</v>
      </c>
      <c r="AL28" s="68" t="s">
        <v>247</v>
      </c>
      <c r="AM28" s="68" t="s">
        <v>289</v>
      </c>
      <c r="AN28" s="68" t="s">
        <v>290</v>
      </c>
      <c r="AO28" s="68" t="s">
        <v>291</v>
      </c>
      <c r="AP28" s="68" t="s">
        <v>292</v>
      </c>
    </row>
    <row r="29" spans="1:42">
      <c r="A29" s="68" t="s">
        <v>136</v>
      </c>
      <c r="B29" s="68" t="s">
        <v>253</v>
      </c>
      <c r="C29" s="68" t="s">
        <v>48</v>
      </c>
      <c r="E29" s="68" t="s">
        <v>293</v>
      </c>
      <c r="K29" s="68" t="s">
        <v>294</v>
      </c>
      <c r="L29" s="68" t="s">
        <v>295</v>
      </c>
      <c r="M29" s="68" t="s">
        <v>254</v>
      </c>
      <c r="N29" s="68" t="s">
        <v>255</v>
      </c>
      <c r="O29" s="68" t="s">
        <v>256</v>
      </c>
      <c r="P29" s="68" t="s">
        <v>296</v>
      </c>
      <c r="Q29" s="68" t="s">
        <v>257</v>
      </c>
      <c r="R29" s="68" t="s">
        <v>258</v>
      </c>
      <c r="S29" s="68" t="s">
        <v>297</v>
      </c>
      <c r="T29" s="68" t="s">
        <v>298</v>
      </c>
      <c r="U29" s="68" t="s">
        <v>299</v>
      </c>
      <c r="V29" s="68" t="s">
        <v>300</v>
      </c>
      <c r="W29" s="68" t="s">
        <v>301</v>
      </c>
      <c r="X29" s="68" t="s">
        <v>259</v>
      </c>
      <c r="Y29" s="68" t="s">
        <v>260</v>
      </c>
      <c r="Z29" s="68" t="s">
        <v>261</v>
      </c>
      <c r="AA29" s="68" t="s">
        <v>262</v>
      </c>
      <c r="AB29" s="68" t="s">
        <v>263</v>
      </c>
      <c r="AC29" s="68" t="s">
        <v>264</v>
      </c>
      <c r="AD29" s="68" t="s">
        <v>265</v>
      </c>
      <c r="AE29" s="68" t="s">
        <v>302</v>
      </c>
      <c r="AF29" s="68" t="s">
        <v>265</v>
      </c>
      <c r="AG29" s="68" t="s">
        <v>95</v>
      </c>
      <c r="AH29" s="68" t="s">
        <v>303</v>
      </c>
      <c r="AJ29" s="68" t="s">
        <v>96</v>
      </c>
      <c r="AK29" s="68" t="s">
        <v>259</v>
      </c>
      <c r="AL29" s="68" t="s">
        <v>260</v>
      </c>
      <c r="AM29" s="68" t="s">
        <v>304</v>
      </c>
      <c r="AN29" s="68" t="s">
        <v>305</v>
      </c>
      <c r="AO29" s="68" t="s">
        <v>306</v>
      </c>
      <c r="AP29" s="68" t="s">
        <v>307</v>
      </c>
    </row>
    <row r="30" spans="1:42">
      <c r="A30" s="68" t="s">
        <v>136</v>
      </c>
      <c r="B30" s="68" t="s">
        <v>308</v>
      </c>
      <c r="C30" s="68" t="s">
        <v>48</v>
      </c>
      <c r="E30" s="68" t="s">
        <v>309</v>
      </c>
      <c r="K30" s="68" t="s">
        <v>310</v>
      </c>
      <c r="L30" s="68" t="s">
        <v>311</v>
      </c>
      <c r="M30" s="68" t="s">
        <v>312</v>
      </c>
      <c r="N30" s="68" t="s">
        <v>313</v>
      </c>
      <c r="O30" s="68" t="s">
        <v>314</v>
      </c>
      <c r="P30" s="68" t="s">
        <v>315</v>
      </c>
      <c r="Q30" s="68" t="s">
        <v>316</v>
      </c>
      <c r="R30" s="68" t="s">
        <v>317</v>
      </c>
      <c r="S30" s="68" t="s">
        <v>318</v>
      </c>
      <c r="T30" s="68" t="s">
        <v>319</v>
      </c>
      <c r="U30" s="68" t="s">
        <v>320</v>
      </c>
      <c r="V30" s="68" t="s">
        <v>321</v>
      </c>
      <c r="W30" s="68" t="s">
        <v>322</v>
      </c>
      <c r="X30" s="68" t="s">
        <v>323</v>
      </c>
      <c r="Y30" s="68" t="s">
        <v>324</v>
      </c>
      <c r="Z30" s="68" t="s">
        <v>325</v>
      </c>
      <c r="AA30" s="68" t="s">
        <v>326</v>
      </c>
      <c r="AB30" s="68" t="s">
        <v>327</v>
      </c>
      <c r="AC30" s="68" t="s">
        <v>328</v>
      </c>
      <c r="AD30" s="68" t="s">
        <v>329</v>
      </c>
      <c r="AE30" s="68" t="s">
        <v>330</v>
      </c>
      <c r="AF30" s="68" t="s">
        <v>329</v>
      </c>
      <c r="AG30" s="68" t="s">
        <v>95</v>
      </c>
      <c r="AH30" s="68" t="s">
        <v>331</v>
      </c>
      <c r="AJ30" s="68" t="s">
        <v>96</v>
      </c>
      <c r="AK30" s="68" t="s">
        <v>323</v>
      </c>
      <c r="AL30" s="68" t="s">
        <v>324</v>
      </c>
      <c r="AM30" s="68" t="s">
        <v>332</v>
      </c>
      <c r="AN30" s="68" t="s">
        <v>333</v>
      </c>
      <c r="AO30" s="68" t="s">
        <v>334</v>
      </c>
      <c r="AP30" s="68" t="s">
        <v>335</v>
      </c>
    </row>
    <row r="31" spans="1:42">
      <c r="A31" s="68" t="s">
        <v>136</v>
      </c>
      <c r="B31" s="68" t="s">
        <v>336</v>
      </c>
      <c r="C31" s="68" t="s">
        <v>48</v>
      </c>
      <c r="E31" s="68" t="s">
        <v>337</v>
      </c>
      <c r="K31" s="68" t="s">
        <v>338</v>
      </c>
      <c r="L31" s="68" t="s">
        <v>339</v>
      </c>
      <c r="M31" s="68" t="s">
        <v>340</v>
      </c>
      <c r="N31" s="68" t="s">
        <v>341</v>
      </c>
      <c r="O31" s="68" t="s">
        <v>342</v>
      </c>
      <c r="P31" s="68" t="s">
        <v>343</v>
      </c>
      <c r="Q31" s="68" t="s">
        <v>344</v>
      </c>
      <c r="R31" s="68" t="s">
        <v>345</v>
      </c>
      <c r="S31" s="68" t="s">
        <v>346</v>
      </c>
      <c r="T31" s="68" t="s">
        <v>347</v>
      </c>
      <c r="U31" s="68" t="s">
        <v>348</v>
      </c>
      <c r="V31" s="68" t="s">
        <v>349</v>
      </c>
      <c r="W31" s="68" t="s">
        <v>350</v>
      </c>
      <c r="X31" s="68" t="s">
        <v>351</v>
      </c>
      <c r="Y31" s="68" t="s">
        <v>352</v>
      </c>
      <c r="Z31" s="68" t="s">
        <v>353</v>
      </c>
      <c r="AA31" s="68" t="s">
        <v>354</v>
      </c>
      <c r="AB31" s="68" t="s">
        <v>355</v>
      </c>
      <c r="AC31" s="68" t="s">
        <v>356</v>
      </c>
      <c r="AD31" s="68" t="s">
        <v>357</v>
      </c>
      <c r="AE31" s="68" t="s">
        <v>358</v>
      </c>
      <c r="AF31" s="68" t="s">
        <v>357</v>
      </c>
      <c r="AG31" s="68" t="s">
        <v>95</v>
      </c>
      <c r="AH31" s="68" t="s">
        <v>359</v>
      </c>
      <c r="AJ31" s="68" t="s">
        <v>96</v>
      </c>
      <c r="AK31" s="68" t="s">
        <v>351</v>
      </c>
      <c r="AL31" s="68" t="s">
        <v>352</v>
      </c>
      <c r="AM31" s="68" t="s">
        <v>360</v>
      </c>
      <c r="AN31" s="68" t="s">
        <v>361</v>
      </c>
      <c r="AO31" s="68" t="s">
        <v>362</v>
      </c>
      <c r="AP31" s="68" t="s">
        <v>363</v>
      </c>
    </row>
    <row r="32" spans="1:42">
      <c r="A32" s="68" t="s">
        <v>136</v>
      </c>
      <c r="B32" s="68" t="s">
        <v>364</v>
      </c>
      <c r="C32" s="68" t="s">
        <v>48</v>
      </c>
      <c r="E32" s="68" t="s">
        <v>365</v>
      </c>
      <c r="K32" s="68" t="s">
        <v>366</v>
      </c>
      <c r="L32" s="68" t="s">
        <v>367</v>
      </c>
      <c r="M32" s="68" t="s">
        <v>368</v>
      </c>
      <c r="N32" s="68" t="s">
        <v>369</v>
      </c>
      <c r="O32" s="68" t="s">
        <v>370</v>
      </c>
      <c r="P32" s="68" t="s">
        <v>371</v>
      </c>
      <c r="Q32" s="68" t="s">
        <v>372</v>
      </c>
      <c r="R32" s="68" t="s">
        <v>373</v>
      </c>
      <c r="S32" s="68" t="s">
        <v>374</v>
      </c>
      <c r="T32" s="68" t="s">
        <v>375</v>
      </c>
      <c r="U32" s="68" t="s">
        <v>376</v>
      </c>
      <c r="V32" s="68" t="s">
        <v>377</v>
      </c>
      <c r="W32" s="68" t="s">
        <v>378</v>
      </c>
      <c r="X32" s="68" t="s">
        <v>379</v>
      </c>
      <c r="Y32" s="68" t="s">
        <v>380</v>
      </c>
      <c r="Z32" s="68" t="s">
        <v>381</v>
      </c>
      <c r="AA32" s="68" t="s">
        <v>382</v>
      </c>
      <c r="AB32" s="68" t="s">
        <v>383</v>
      </c>
      <c r="AC32" s="68" t="s">
        <v>384</v>
      </c>
      <c r="AD32" s="68" t="s">
        <v>385</v>
      </c>
      <c r="AE32" s="68" t="s">
        <v>386</v>
      </c>
      <c r="AF32" s="68" t="s">
        <v>385</v>
      </c>
      <c r="AG32" s="68" t="s">
        <v>95</v>
      </c>
      <c r="AH32" s="68" t="s">
        <v>387</v>
      </c>
      <c r="AJ32" s="68" t="s">
        <v>96</v>
      </c>
      <c r="AK32" s="68" t="s">
        <v>379</v>
      </c>
      <c r="AL32" s="68" t="s">
        <v>380</v>
      </c>
      <c r="AM32" s="68" t="s">
        <v>388</v>
      </c>
      <c r="AN32" s="68" t="s">
        <v>389</v>
      </c>
      <c r="AO32" s="68" t="s">
        <v>390</v>
      </c>
      <c r="AP32" s="68" t="s">
        <v>391</v>
      </c>
    </row>
    <row r="33" spans="1:42">
      <c r="A33" s="68" t="s">
        <v>136</v>
      </c>
      <c r="B33" s="68" t="s">
        <v>392</v>
      </c>
      <c r="C33" s="68" t="s">
        <v>48</v>
      </c>
      <c r="E33" s="68" t="s">
        <v>393</v>
      </c>
      <c r="K33" s="68" t="s">
        <v>394</v>
      </c>
      <c r="L33" s="68" t="s">
        <v>395</v>
      </c>
      <c r="M33" s="68" t="s">
        <v>396</v>
      </c>
      <c r="N33" s="68" t="s">
        <v>397</v>
      </c>
      <c r="O33" s="68" t="s">
        <v>398</v>
      </c>
      <c r="P33" s="68" t="s">
        <v>399</v>
      </c>
      <c r="Q33" s="68" t="s">
        <v>400</v>
      </c>
      <c r="R33" s="68" t="s">
        <v>401</v>
      </c>
      <c r="S33" s="68" t="s">
        <v>402</v>
      </c>
      <c r="T33" s="68" t="s">
        <v>403</v>
      </c>
      <c r="U33" s="68" t="s">
        <v>404</v>
      </c>
      <c r="V33" s="68" t="s">
        <v>405</v>
      </c>
      <c r="W33" s="68" t="s">
        <v>406</v>
      </c>
      <c r="X33" s="68" t="s">
        <v>407</v>
      </c>
      <c r="Y33" s="68" t="s">
        <v>408</v>
      </c>
      <c r="Z33" s="68" t="s">
        <v>409</v>
      </c>
      <c r="AA33" s="68" t="s">
        <v>410</v>
      </c>
      <c r="AB33" s="68" t="s">
        <v>411</v>
      </c>
      <c r="AC33" s="68" t="s">
        <v>412</v>
      </c>
      <c r="AD33" s="68" t="s">
        <v>413</v>
      </c>
      <c r="AE33" s="68" t="s">
        <v>414</v>
      </c>
      <c r="AF33" s="68" t="s">
        <v>413</v>
      </c>
      <c r="AG33" s="68" t="s">
        <v>95</v>
      </c>
      <c r="AH33" s="68" t="s">
        <v>415</v>
      </c>
      <c r="AJ33" s="68" t="s">
        <v>96</v>
      </c>
      <c r="AK33" s="68" t="s">
        <v>407</v>
      </c>
      <c r="AL33" s="68" t="s">
        <v>408</v>
      </c>
      <c r="AM33" s="68" t="s">
        <v>416</v>
      </c>
      <c r="AN33" s="68" t="s">
        <v>417</v>
      </c>
      <c r="AO33" s="68" t="s">
        <v>418</v>
      </c>
      <c r="AP33" s="68" t="s">
        <v>419</v>
      </c>
    </row>
    <row r="34" spans="1:42">
      <c r="B34" s="68" t="s">
        <v>420</v>
      </c>
      <c r="C34" s="68" t="s">
        <v>49</v>
      </c>
      <c r="E34" s="68" t="s">
        <v>128</v>
      </c>
      <c r="M34" s="68" t="s">
        <v>421</v>
      </c>
      <c r="N34" s="68" t="s">
        <v>422</v>
      </c>
      <c r="O34" s="68" t="s">
        <v>423</v>
      </c>
      <c r="Q34" s="68" t="s">
        <v>424</v>
      </c>
      <c r="R34" s="68" t="s">
        <v>425</v>
      </c>
      <c r="T34" s="68" t="s">
        <v>426</v>
      </c>
      <c r="U34" s="68" t="s">
        <v>427</v>
      </c>
      <c r="X34" s="68" t="s">
        <v>426</v>
      </c>
      <c r="Y34" s="68" t="s">
        <v>428</v>
      </c>
      <c r="Z34" s="68" t="s">
        <v>429</v>
      </c>
      <c r="AA34" s="68" t="s">
        <v>430</v>
      </c>
      <c r="AB34" s="68" t="s">
        <v>431</v>
      </c>
      <c r="AC34" s="68" t="s">
        <v>432</v>
      </c>
      <c r="AD34" s="68" t="s">
        <v>433</v>
      </c>
      <c r="AH34" s="68" t="s">
        <v>434</v>
      </c>
      <c r="AL34" s="68" t="s">
        <v>435</v>
      </c>
      <c r="AM34" s="68" t="s">
        <v>436</v>
      </c>
    </row>
    <row r="35" spans="1:42">
      <c r="B35" s="68" t="s">
        <v>437</v>
      </c>
      <c r="C35" s="68" t="s">
        <v>50</v>
      </c>
      <c r="E35" s="68" t="s">
        <v>131</v>
      </c>
      <c r="M35" s="68" t="s">
        <v>438</v>
      </c>
      <c r="N35" s="68" t="s">
        <v>439</v>
      </c>
      <c r="O35" s="68" t="s">
        <v>440</v>
      </c>
      <c r="Q35" s="68" t="s">
        <v>441</v>
      </c>
      <c r="R35" s="68" t="s">
        <v>442</v>
      </c>
      <c r="T35" s="68" t="s">
        <v>443</v>
      </c>
      <c r="U35" s="68" t="s">
        <v>444</v>
      </c>
      <c r="X35" s="68" t="s">
        <v>443</v>
      </c>
      <c r="Y35" s="68" t="s">
        <v>445</v>
      </c>
      <c r="Z35" s="68" t="s">
        <v>446</v>
      </c>
      <c r="AA35" s="68" t="s">
        <v>447</v>
      </c>
      <c r="AB35" s="68" t="s">
        <v>448</v>
      </c>
      <c r="AC35" s="68" t="s">
        <v>449</v>
      </c>
      <c r="AD35" s="68" t="s">
        <v>450</v>
      </c>
      <c r="AL35" s="68" t="s">
        <v>451</v>
      </c>
      <c r="AM35" s="68" t="s">
        <v>452</v>
      </c>
    </row>
    <row r="37" spans="1:42">
      <c r="AC37" s="68" t="s">
        <v>453</v>
      </c>
      <c r="AD37" s="68" t="s">
        <v>454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49"/>
  <sheetViews>
    <sheetView tabSelected="1" topLeftCell="K19" zoomScale="85" zoomScaleNormal="85" workbookViewId="0">
      <selection activeCell="T27" sqref="T2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3.140625" style="18" customWidth="1"/>
    <col min="16" max="16" width="8.140625" style="18" customWidth="1"/>
    <col min="17" max="17" width="11.85546875" style="4" bestFit="1" customWidth="1"/>
    <col min="18" max="18" width="19.5703125" style="4" customWidth="1"/>
    <col min="19" max="19" width="14" style="45" customWidth="1"/>
    <col min="20" max="20" width="14.28515625" style="45" customWidth="1"/>
    <col min="21" max="21" width="15.140625" style="45" bestFit="1" customWidth="1"/>
    <col min="22" max="22" width="10.42578125" style="45" bestFit="1" customWidth="1"/>
    <col min="23" max="23" width="9.5703125" style="45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60" bestFit="1" customWidth="1"/>
    <col min="28" max="28" width="22.42578125" style="4" bestFit="1" customWidth="1"/>
    <col min="29" max="29" width="9.85546875" style="4" customWidth="1"/>
    <col min="30" max="30" width="19.28515625" style="4" customWidth="1"/>
    <col min="31" max="31" width="8.42578125" style="21" customWidth="1"/>
    <col min="32" max="32" width="8.85546875" style="4" customWidth="1"/>
    <col min="33" max="33" width="11.28515625" style="21" customWidth="1"/>
    <col min="34" max="34" width="12.140625" style="4" customWidth="1"/>
    <col min="35" max="35" width="6.7109375" style="4" customWidth="1"/>
    <col min="36" max="36" width="6.85546875" style="21" customWidth="1"/>
    <col min="37" max="37" width="14.42578125" style="4" customWidth="1"/>
    <col min="38" max="38" width="46.42578125" style="4" customWidth="1"/>
    <col min="39" max="39" width="11.85546875" style="4" bestFit="1" customWidth="1"/>
    <col min="40" max="40" width="14.28515625" style="4" customWidth="1"/>
    <col min="41" max="41" width="11.28515625" style="35" bestFit="1" customWidth="1"/>
    <col min="42" max="42" width="41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20240901..20240930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2" hidden="1">
      <c r="A17" s="1" t="s">
        <v>7</v>
      </c>
    </row>
    <row r="18" spans="1:42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42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2" s="40" customFormat="1" ht="18.75">
      <c r="A21" s="39"/>
      <c r="B21" s="39"/>
      <c r="I21" s="41"/>
      <c r="M21" s="72" t="s">
        <v>76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43"/>
      <c r="AO21" s="42"/>
      <c r="AP21" s="42"/>
    </row>
    <row r="22" spans="1:42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2" s="54" customFormat="1" ht="63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465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42">
      <c r="B24" s="1" t="str">
        <f>IF(M24="","Hide","Show")</f>
        <v>Show</v>
      </c>
      <c r="C24" s="4" t="s">
        <v>48</v>
      </c>
      <c r="E24" s="13" t="str">
        <f>"""UICACS"","""",""SQL="",""2=DOCNUM"",""33036373"",""14=CUSTREF"",""8100000165"",""14=U_CUSTREF"",""8100000165"",""15=DOCDATE"",""2/9/2024"",""15=TAXDATE"",""2/9/2024"",""14=CARDCODE"",""CI0099-SGD"",""14=CARDNAME"",""SYNAPXE PTE. LTD."",""14=ITEMCODE"",""MS9EA-00264GLP"",""14=ITEMNAME"",""MS WI"&amp;"N SERVER DC CORE SLNG SA 16L"",""10=QUANTITY"",""126.000000"",""14=U_PONO"",""951035/A"",""15=U_PODATE"",""27/6/2024"",""10=U_TLINTCOS"",""0.000000"",""2=SLPCODE"",""132"",""14=SLPNAME"",""E0001-CS"",""14=MEMO"",""WENDY KUM CHIOU SZE"",""14=CONTACTNAME"",""E-INVOICE(AP DIRECT)"",""10=LINE"&amp;"TOTAL"",""485370.900000"",""14=U_ENR"","""",""14=U_MSENR"",""S7138270"",""14=U_MSPCN"",""AD5A91AA"",""14=ADDRESS2"",""GOPAL VENKATESAN_x000D_SYNAPXE PTE. LTD. 1 NORTH BUONA VISTA LINK, ELEMENTUM, #05-01 SINGAPORE 139691_x000D_GOPAL VENKATESAN_x000D_TEL: 81480109_x000D_FAX: _x000D_EMAIL: venkatesan.gopa"&amp;"l@synapxe.sg"""</f>
        <v>"UICACS","","SQL=","2=DOCNUM","33036373","14=CUSTREF","8100000165","14=U_CUSTREF","8100000165","15=DOCDATE","2/9/2024","15=TAXDATE","2/9/2024","14=CARDCODE","CI0099-SGD","14=CARDNAME","SYNAPXE PTE. LTD.","14=ITEMCODE","MS9EA-00264GLP","14=ITEMNAME","MS WIN SERVER DC CORE SLNG SA 16L","10=QUANTITY","126.000000","14=U_PONO","951035/A","15=U_PODATE","27/6/2024","10=U_TLINTCOS","0.000000","2=SLPCODE","132","14=SLPNAME","E0001-CS","14=MEMO","WENDY KUM CHIOU SZE","14=CONTACTNAME","E-INVOICE(AP DIRECT)","10=LINETOTAL","485370.900000","14=U_ENR","","14=U_MSENR","S7138270","14=U_MSPCN","AD5A91AA","14=ADDRESS2","GOPAL VENKATESAN_x000D_SYNAPXE PTE. LTD. 1 NORTH BUONA VISTA LINK, ELEMENTUM, #05-01 SINGAPORE 139691_x000D_GOPAL VENKATESAN_x000D_TEL: 81480109_x000D_FAX: _x000D_EMAIL: venkatesan.gopal@synapxe.sg"</v>
      </c>
      <c r="K24" s="4">
        <f>MONTH(N24)</f>
        <v>9</v>
      </c>
      <c r="L24" s="4">
        <f>YEAR(N24)</f>
        <v>2024</v>
      </c>
      <c r="M24" s="4">
        <v>33036373</v>
      </c>
      <c r="N24" s="38">
        <v>45537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50" t="str">
        <f>"951035/A"</f>
        <v>951035/A</v>
      </c>
      <c r="T24" s="50">
        <v>45470</v>
      </c>
      <c r="U24" s="50" t="str">
        <f>"8100000165"</f>
        <v>8100000165</v>
      </c>
      <c r="V24" s="50">
        <v>45537</v>
      </c>
      <c r="W24" s="51">
        <f>SUM(N24-T24)</f>
        <v>67</v>
      </c>
      <c r="X24" s="65" t="str">
        <f>"MS9EA-00264GLP"</f>
        <v>MS9EA-00264GLP</v>
      </c>
      <c r="Y24" s="65" t="str">
        <f>"MS WIN SERVER DC CORE SLNG SA 16L"</f>
        <v>MS WIN SERVER DC CORE SLNG SA 16L</v>
      </c>
      <c r="Z24" s="65" t="str">
        <f>"WENDY KUM CHIOU SZE"</f>
        <v>WENDY KUM CHIOU SZE</v>
      </c>
      <c r="AA24" s="60">
        <v>126</v>
      </c>
      <c r="AB24" s="65" t="str">
        <f>"E-INVOICE(AP DIRECT)"</f>
        <v>E-INVOICE(AP DIRECT)</v>
      </c>
      <c r="AC24" s="37">
        <f>IFERROR(AD24/AA24,0)</f>
        <v>3852.15</v>
      </c>
      <c r="AD24" s="37">
        <v>485370.9</v>
      </c>
      <c r="AE24" s="63" t="str">
        <f>"-"</f>
        <v>-</v>
      </c>
      <c r="AF24" s="37">
        <v>485370.9</v>
      </c>
      <c r="AG24" s="63" t="s">
        <v>95</v>
      </c>
      <c r="AH24" s="67" t="str">
        <f>"GOPAL VENKATESAN_x000D_SYNAPXE PTE. LTD. 1 NORTH BUONA VISTA LINK, ELEMENTUM, #05-01 SINGAPORE 139691_x000D_GOPAL VENKATESAN_x000D_TEL: 81480109_x000D_FAX: _x000D_EMAIL: venkatesan.gopal@synapxe.sg"</f>
        <v>GOPAL VENKATESAN_x000D_SYNAPXE PTE. LTD. 1 NORTH BUONA VISTA LINK, ELEMENTUM, #05-01 SINGAPORE 139691_x000D_GOPAL VENKATESAN_x000D_TEL: 81480109_x000D_FAX: _x000D_EMAIL: venkatesan.gopal@synapxe.sg</v>
      </c>
      <c r="AI24" s="18"/>
      <c r="AJ24" s="63" t="s">
        <v>96</v>
      </c>
      <c r="AK24" s="4" t="str">
        <f>"MS9EA-00264GLP"</f>
        <v>MS9EA-00264GLP</v>
      </c>
      <c r="AL24" s="4" t="str">
        <f>"MS WIN SERVER DC CORE SLNG SA 16L"</f>
        <v>MS WIN SERVER DC CORE SLNG SA 16L</v>
      </c>
      <c r="AM24" s="4" t="s">
        <v>457</v>
      </c>
      <c r="AN24" s="4" t="s">
        <v>455</v>
      </c>
      <c r="AO24" s="4" t="s">
        <v>456</v>
      </c>
      <c r="AP24" s="4" t="s">
        <v>464</v>
      </c>
    </row>
    <row r="25" spans="1:42">
      <c r="A25" s="1" t="s">
        <v>136</v>
      </c>
      <c r="B25" s="1" t="str">
        <f t="shared" ref="B25:B33" si="0">IF(M25="","Hide","Show")</f>
        <v>Show</v>
      </c>
      <c r="C25" s="4" t="s">
        <v>48</v>
      </c>
      <c r="E25" s="13" t="str">
        <f>"""UICACS"","""",""SQL="",""2=DOCNUM"",""33036373"",""14=CUSTREF"",""8100000165"",""14=U_CUSTREF"",""8100000165"",""15=DOCDATE"",""2/9/2024"",""15=TAXDATE"",""2/9/2024"",""14=CARDCODE"",""CI0099-SGD"",""14=CARDNAME"",""SYNAPXE PTE. LTD."",""14=ITEMCODE"",""MS9EA-00264GLP"",""14=ITEMNAME"",""MS WI"&amp;"N SERVER DC CORE SLNG SA 16L"",""10=QUANTITY"",""78.000000"",""14=U_PONO"",""951035/A"",""15=U_PODATE"",""27/6/2024"",""10=U_TLINTCOS"",""0.000000"",""2=SLPCODE"",""132"",""14=SLPNAME"",""E0001-CS"",""14=MEMO"",""WENDY KUM CHIOU SZE"",""14=CONTACTNAME"",""E-INVOICE(AP DIRECT)"",""10=LINET"&amp;"OTAL"",""300467.700000"",""14=U_ENR"","""",""14=U_MSENR"",""S7138270"",""14=U_MSPCN"",""AD5A91AA"",""14=ADDRESS2"",""GOPAL VENKATESAN_x000D_SYNAPXE PTE. LTD. 1 NORTH BUONA VISTA LINK, ELEMENTUM, #05-01 SINGAPORE 139691_x000D_GOPAL VENKATESAN_x000D_TEL: 81480109_x000D_FAX: _x000D_EMAIL: venkatesan.gopal"&amp;"@synapxe.sg"""</f>
        <v>"UICACS","","SQL=","2=DOCNUM","33036373","14=CUSTREF","8100000165","14=U_CUSTREF","8100000165","15=DOCDATE","2/9/2024","15=TAXDATE","2/9/2024","14=CARDCODE","CI0099-SGD","14=CARDNAME","SYNAPXE PTE. LTD.","14=ITEMCODE","MS9EA-00264GLP","14=ITEMNAME","MS WIN SERVER DC CORE SLNG SA 16L","10=QUANTITY","78.000000","14=U_PONO","951035/A","15=U_PODATE","27/6/2024","10=U_TLINTCOS","0.000000","2=SLPCODE","132","14=SLPNAME","E0001-CS","14=MEMO","WENDY KUM CHIOU SZE","14=CONTACTNAME","E-INVOICE(AP DIRECT)","10=LINETOTAL","300467.700000","14=U_ENR","","14=U_MSENR","S7138270","14=U_MSPCN","AD5A91AA","14=ADDRESS2","GOPAL VENKATESAN_x000D_SYNAPXE PTE. LTD. 1 NORTH BUONA VISTA LINK, ELEMENTUM, #05-01 SINGAPORE 139691_x000D_GOPAL VENKATESAN_x000D_TEL: 81480109_x000D_FAX: _x000D_EMAIL: venkatesan.gopal@synapxe.sg"</v>
      </c>
      <c r="K25" s="4">
        <f>MONTH(N25)</f>
        <v>9</v>
      </c>
      <c r="L25" s="4">
        <f>YEAR(N25)</f>
        <v>2024</v>
      </c>
      <c r="M25" s="4">
        <v>33036373</v>
      </c>
      <c r="N25" s="38">
        <v>45537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50" t="str">
        <f>"951035/A"</f>
        <v>951035/A</v>
      </c>
      <c r="T25" s="50">
        <v>45470</v>
      </c>
      <c r="U25" s="50" t="str">
        <f>"8100000165"</f>
        <v>8100000165</v>
      </c>
      <c r="V25" s="50">
        <v>45537</v>
      </c>
      <c r="W25" s="51">
        <f>SUM(N25-T25)</f>
        <v>67</v>
      </c>
      <c r="X25" s="65" t="str">
        <f>"MS9EA-00264GLP"</f>
        <v>MS9EA-00264GLP</v>
      </c>
      <c r="Y25" s="65" t="str">
        <f>"MS WIN SERVER DC CORE SLNG SA 16L"</f>
        <v>MS WIN SERVER DC CORE SLNG SA 16L</v>
      </c>
      <c r="Z25" s="65" t="str">
        <f>"WENDY KUM CHIOU SZE"</f>
        <v>WENDY KUM CHIOU SZE</v>
      </c>
      <c r="AA25" s="60">
        <v>78</v>
      </c>
      <c r="AB25" s="65" t="str">
        <f>"E-INVOICE(AP DIRECT)"</f>
        <v>E-INVOICE(AP DIRECT)</v>
      </c>
      <c r="AC25" s="37">
        <f>IFERROR(AD25/AA25,0)</f>
        <v>3852.15</v>
      </c>
      <c r="AD25" s="37">
        <v>300467.7</v>
      </c>
      <c r="AE25" s="63" t="str">
        <f>"-"</f>
        <v>-</v>
      </c>
      <c r="AF25" s="37">
        <v>300467.7</v>
      </c>
      <c r="AG25" s="63" t="s">
        <v>95</v>
      </c>
      <c r="AH25" s="67" t="str">
        <f>"GOPAL VENKATESAN_x000D_SYNAPXE PTE. LTD. 1 NORTH BUONA VISTA LINK, ELEMENTUM, #05-01 SINGAPORE 139691_x000D_GOPAL VENKATESAN_x000D_TEL: 81480109_x000D_FAX: _x000D_EMAIL: venkatesan.gopal@synapxe.sg"</f>
        <v>GOPAL VENKATESAN_x000D_SYNAPXE PTE. LTD. 1 NORTH BUONA VISTA LINK, ELEMENTUM, #05-01 SINGAPORE 139691_x000D_GOPAL VENKATESAN_x000D_TEL: 81480109_x000D_FAX: _x000D_EMAIL: venkatesan.gopal@synapxe.sg</v>
      </c>
      <c r="AI25" s="18"/>
      <c r="AJ25" s="63" t="s">
        <v>96</v>
      </c>
      <c r="AK25" s="4" t="str">
        <f>"MS9EA-00264GLP"</f>
        <v>MS9EA-00264GLP</v>
      </c>
      <c r="AL25" s="4" t="str">
        <f>"MS WIN SERVER DC CORE SLNG SA 16L"</f>
        <v>MS WIN SERVER DC CORE SLNG SA 16L</v>
      </c>
      <c r="AM25" s="4" t="s">
        <v>457</v>
      </c>
      <c r="AN25" s="4" t="s">
        <v>455</v>
      </c>
      <c r="AO25" s="4" t="s">
        <v>456</v>
      </c>
      <c r="AP25" s="4" t="s">
        <v>464</v>
      </c>
    </row>
    <row r="26" spans="1:42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"""UICACS"","""",""SQL="",""2=DOCNUM"",""33036394"",""14=CUSTREF"",""7100000043"",""14=U_CUSTREF"",""7100000043"",""15=DOCDATE"",""4/9/2024"",""15=TAXDATE"",""4/9/2024"",""14=CARDCODE"",""CI0099-SGD"",""14=CARDNAME"",""SYNAPXE PTE. LTD."",""14=ITEMCODE"",""MS7JQ-00355GLP"",""14=ITEMNAME"",""MS SQ"&amp;"L SERVER ENTERPRISE CORE SLNG SA 2L"",""10=QUANTITY"",""10.000000"",""14=U_PONO"",""952268"",""15=U_PODATE"",""30/8/2024"",""10=U_TLINTCOS"",""0.000000"",""2=SLPCODE"",""132"",""14=SLPNAME"",""E0001-CS"",""14=MEMO"",""WENDY KUM CHIOU SZE"",""14=CONTACTNAME"",""E-INVOICE(AP DIRECT)"",""10="&amp;"LINETOTAL"",""33760.000000"",""14=U_ENR"","""",""14=U_MSENR"",""S7138270"",""14=U_MSPCN"",""AD5A91AA"",""14=ADDRESS2"",""CLARENCE WANG LU WEI_x000D_SYNAPXE PTE LTD 1 NORTH BUONA VISTA LINK #05-01 ELEMENTUM SINGAPORE 139691_x000D_CLARENCE WANG LU WEI_x000D_TEL: _x000D_FAX: jeyaraj.rajadurai@synapx"&amp;"e.sg_x000D_EMAIL: clarence.wang@synapxe.sg"""</f>
        <v>"UICACS","","SQL=","2=DOCNUM","33036394","14=CUSTREF","7100000043","14=U_CUSTREF","7100000043","15=DOCDATE","4/9/2024","15=TAXDATE","4/9/2024","14=CARDCODE","CI0099-SGD","14=CARDNAME","SYNAPXE PTE. LTD.","14=ITEMCODE","MS7JQ-00355GLP","14=ITEMNAME","MS SQL SERVER ENTERPRISE CORE SLNG SA 2L","10=QUANTITY","10.000000","14=U_PONO","952268","15=U_PODATE","30/8/2024","10=U_TLINTCOS","0.000000","2=SLPCODE","132","14=SLPNAME","E0001-CS","14=MEMO","WENDY KUM CHIOU SZE","14=CONTACTNAME","E-INVOICE(AP DIRECT)","10=LINETOTAL","33760.000000","14=U_ENR","","14=U_MSENR","S7138270","14=U_MSPCN","AD5A91AA","14=ADDRESS2","CLARENCE WANG LU WEI_x000D_SYNAPXE PTE LTD 1 NORTH BUONA VISTA LINK #05-01 ELEMENTUM SINGAPORE 139691_x000D_CLARENCE WANG LU WEI_x000D_TEL: _x000D_FAX: jeyaraj.rajadurai@synapxe.sg_x000D_EMAIL: clarence.wang@synapxe.sg"</v>
      </c>
      <c r="K26" s="4">
        <f>MONTH(N26)</f>
        <v>9</v>
      </c>
      <c r="L26" s="4">
        <f>YEAR(N26)</f>
        <v>2024</v>
      </c>
      <c r="M26" s="4">
        <v>33036394</v>
      </c>
      <c r="N26" s="38">
        <v>45539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50" t="str">
        <f>"952268"</f>
        <v>952268</v>
      </c>
      <c r="T26" s="50">
        <v>45534</v>
      </c>
      <c r="U26" s="50" t="str">
        <f>"7100000043"</f>
        <v>7100000043</v>
      </c>
      <c r="V26" s="50">
        <v>45539</v>
      </c>
      <c r="W26" s="51">
        <f>SUM(N26-T26)</f>
        <v>5</v>
      </c>
      <c r="X26" s="65" t="str">
        <f>"MS7JQ-00355GLP"</f>
        <v>MS7JQ-00355GLP</v>
      </c>
      <c r="Y26" s="65" t="str">
        <f>"MS SQL SERVER ENTERPRISE CORE SLNG SA 2L"</f>
        <v>MS SQL SERVER ENTERPRISE CORE SLNG SA 2L</v>
      </c>
      <c r="Z26" s="65" t="str">
        <f>"WENDY KUM CHIOU SZE"</f>
        <v>WENDY KUM CHIOU SZE</v>
      </c>
      <c r="AA26" s="60">
        <v>10</v>
      </c>
      <c r="AB26" s="65" t="str">
        <f>"E-INVOICE(AP DIRECT)"</f>
        <v>E-INVOICE(AP DIRECT)</v>
      </c>
      <c r="AC26" s="37">
        <f>IFERROR(AD26/AA26,0)</f>
        <v>3376</v>
      </c>
      <c r="AD26" s="37">
        <v>33760</v>
      </c>
      <c r="AE26" s="63" t="str">
        <f>"-"</f>
        <v>-</v>
      </c>
      <c r="AF26" s="37">
        <v>33760</v>
      </c>
      <c r="AG26" s="63" t="s">
        <v>95</v>
      </c>
      <c r="AH26" s="67" t="str">
        <f>"CLARENCE WANG LU WEI_x000D_SYNAPXE PTE LTD 1 NORTH BUONA VISTA LINK #05-01 ELEMENTUM SINGAPORE 139691_x000D_CLARENCE WANG LU WEI_x000D_TEL: _x000D_FAX: jeyaraj.rajadurai@synapxe.sg_x000D_EMAIL: clarence.wang@synapxe.sg"</f>
        <v>CLARENCE WANG LU WEI_x000D_SYNAPXE PTE LTD 1 NORTH BUONA VISTA LINK #05-01 ELEMENTUM SINGAPORE 139691_x000D_CLARENCE WANG LU WEI_x000D_TEL: _x000D_FAX: jeyaraj.rajadurai@synapxe.sg_x000D_EMAIL: clarence.wang@synapxe.sg</v>
      </c>
      <c r="AI26" s="18"/>
      <c r="AJ26" s="63" t="s">
        <v>96</v>
      </c>
      <c r="AK26" s="4" t="str">
        <f>"MS7JQ-00355GLP"</f>
        <v>MS7JQ-00355GLP</v>
      </c>
      <c r="AL26" s="4" t="str">
        <f>"MS SQL SERVER ENTERPRISE CORE SLNG SA 2L"</f>
        <v>MS SQL SERVER ENTERPRISE CORE SLNG SA 2L</v>
      </c>
      <c r="AM26" s="4" t="s">
        <v>457</v>
      </c>
      <c r="AN26" s="4" t="s">
        <v>455</v>
      </c>
      <c r="AO26" s="4" t="s">
        <v>458</v>
      </c>
      <c r="AP26" s="4" t="str">
        <f>"-"</f>
        <v>-</v>
      </c>
    </row>
    <row r="27" spans="1:42">
      <c r="A27" s="1" t="s">
        <v>136</v>
      </c>
      <c r="B27" s="1" t="str">
        <f t="shared" si="0"/>
        <v>Show</v>
      </c>
      <c r="C27" s="4" t="s">
        <v>48</v>
      </c>
      <c r="E27" s="13" t="str">
        <f>"""UICACS"","""",""SQL="",""2=DOCNUM"",""33036394"",""14=CUSTREF"",""7100000043"",""14=U_CUSTREF"",""7100000043"",""15=DOCDATE"",""4/9/2024"",""15=TAXDATE"",""4/9/2024"",""14=CARDCODE"",""CI0099-SGD"",""14=CARDNAME"",""SYNAPXE PTE. LTD."",""14=ITEMCODE"",""MS6VC-01290GLP"",""14=ITEMNAME"",""MS WI"&amp;"NRMTDSKTPSRVCSCAL SNGL SA MVL USRCAL"",""10=QUANTITY"",""170.000000"",""14=U_PONO"",""952268"",""15=U_PODATE"",""30/8/2024"",""10=U_TLINTCOS"",""0.000000"",""2=SLPCODE"",""132"",""14=SLPNAME"",""E0001-CS"",""14=MEMO"",""WENDY KUM CHIOU SZE"",""14=CONTACTNAME"",""E-INVOICE(AP DIRECT)"",""1"&amp;"0=LINETOTAL"",""5594.700000"",""14=U_ENR"","""",""14=U_MSENR"",""S7138270"",""14=U_MSPCN"",""AD5A91AA"",""14=ADDRESS2"",""CLARENCE WANG LU WEI_x000D_SYNAPXE PTE LTD 1 NORTH BUONA VISTA LINK #05-01 ELEMENTUM SINGAPORE 139691_x000D_CLARENCE WANG LU WEI_x000D_TEL: _x000D_FAX: jeyaraj.rajadurai@synap"&amp;"xe.sg_x000D_EMAIL: clarence.wang@synapxe.sg"""</f>
        <v>"UICACS","","SQL=","2=DOCNUM","33036394","14=CUSTREF","7100000043","14=U_CUSTREF","7100000043","15=DOCDATE","4/9/2024","15=TAXDATE","4/9/2024","14=CARDCODE","CI0099-SGD","14=CARDNAME","SYNAPXE PTE. LTD.","14=ITEMCODE","MS6VC-01290GLP","14=ITEMNAME","MS WINRMTDSKTPSRVCSCAL SNGL SA MVL USRCAL","10=QUANTITY","170.000000","14=U_PONO","952268","15=U_PODATE","30/8/2024","10=U_TLINTCOS","0.000000","2=SLPCODE","132","14=SLPNAME","E0001-CS","14=MEMO","WENDY KUM CHIOU SZE","14=CONTACTNAME","E-INVOICE(AP DIRECT)","10=LINETOTAL","5594.700000","14=U_ENR","","14=U_MSENR","S7138270","14=U_MSPCN","AD5A91AA","14=ADDRESS2","CLARENCE WANG LU WEI_x000D_SYNAPXE PTE LTD 1 NORTH BUONA VISTA LINK #05-01 ELEMENTUM SINGAPORE 139691_x000D_CLARENCE WANG LU WEI_x000D_TEL: _x000D_FAX: jeyaraj.rajadurai@synapxe.sg_x000D_EMAIL: clarence.wang@synapxe.sg"</v>
      </c>
      <c r="K27" s="4">
        <f>MONTH(N27)</f>
        <v>9</v>
      </c>
      <c r="L27" s="4">
        <f>YEAR(N27)</f>
        <v>2024</v>
      </c>
      <c r="M27" s="4">
        <v>33036394</v>
      </c>
      <c r="N27" s="38">
        <v>45539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50" t="str">
        <f>"952268"</f>
        <v>952268</v>
      </c>
      <c r="T27" s="50">
        <v>45534</v>
      </c>
      <c r="U27" s="50" t="str">
        <f>"7100000043"</f>
        <v>7100000043</v>
      </c>
      <c r="V27" s="50">
        <v>45539</v>
      </c>
      <c r="W27" s="51">
        <f>SUM(N27-T27)</f>
        <v>5</v>
      </c>
      <c r="X27" s="65" t="str">
        <f>"MS6VC-01290GLP"</f>
        <v>MS6VC-01290GLP</v>
      </c>
      <c r="Y27" s="65" t="str">
        <f>"MS WINRMTDSKTPSRVCSCAL SNGL SA MVL USRCAL"</f>
        <v>MS WINRMTDSKTPSRVCSCAL SNGL SA MVL USRCAL</v>
      </c>
      <c r="Z27" s="65" t="str">
        <f>"WENDY KUM CHIOU SZE"</f>
        <v>WENDY KUM CHIOU SZE</v>
      </c>
      <c r="AA27" s="60">
        <v>170</v>
      </c>
      <c r="AB27" s="65" t="str">
        <f>"E-INVOICE(AP DIRECT)"</f>
        <v>E-INVOICE(AP DIRECT)</v>
      </c>
      <c r="AC27" s="37">
        <f>IFERROR(AD27/AA27,0)</f>
        <v>32.909999999999997</v>
      </c>
      <c r="AD27" s="37">
        <v>5594.7</v>
      </c>
      <c r="AE27" s="63" t="str">
        <f>"-"</f>
        <v>-</v>
      </c>
      <c r="AF27" s="37">
        <v>5594.7</v>
      </c>
      <c r="AG27" s="63" t="s">
        <v>95</v>
      </c>
      <c r="AH27" s="67" t="str">
        <f>"CLARENCE WANG LU WEI_x000D_SYNAPXE PTE LTD 1 NORTH BUONA VISTA LINK #05-01 ELEMENTUM SINGAPORE 139691_x000D_CLARENCE WANG LU WEI_x000D_TEL: _x000D_FAX: jeyaraj.rajadurai@synapxe.sg_x000D_EMAIL: clarence.wang@synapxe.sg"</f>
        <v>CLARENCE WANG LU WEI_x000D_SYNAPXE PTE LTD 1 NORTH BUONA VISTA LINK #05-01 ELEMENTUM SINGAPORE 139691_x000D_CLARENCE WANG LU WEI_x000D_TEL: _x000D_FAX: jeyaraj.rajadurai@synapxe.sg_x000D_EMAIL: clarence.wang@synapxe.sg</v>
      </c>
      <c r="AI27" s="18"/>
      <c r="AJ27" s="63" t="s">
        <v>96</v>
      </c>
      <c r="AK27" s="4" t="str">
        <f>"MS6VC-01290GLP"</f>
        <v>MS6VC-01290GLP</v>
      </c>
      <c r="AL27" s="4" t="str">
        <f>"MS WINRMTDSKTPSRVCSCAL SNGL SA MVL USRCAL"</f>
        <v>MS WINRMTDSKTPSRVCSCAL SNGL SA MVL USRCAL</v>
      </c>
      <c r="AM27" s="4" t="s">
        <v>457</v>
      </c>
      <c r="AN27" s="4" t="s">
        <v>455</v>
      </c>
      <c r="AO27" s="4" t="s">
        <v>458</v>
      </c>
      <c r="AP27" s="4" t="str">
        <f>"-"</f>
        <v>-</v>
      </c>
    </row>
    <row r="28" spans="1:42">
      <c r="A28" s="1" t="s">
        <v>136</v>
      </c>
      <c r="B28" s="1" t="str">
        <f t="shared" si="0"/>
        <v>Show</v>
      </c>
      <c r="C28" s="4" t="s">
        <v>48</v>
      </c>
      <c r="E28" s="13" t="str">
        <f>"""UICACS"","""",""SQL="",""2=DOCNUM"",""33036421"",""14=CUSTREF"",""7100000048"",""14=U_CUSTREF"",""7100000048"",""15=DOCDATE"",""10/9/2024"",""15=TAXDATE"",""10/9/2024"",""14=CARDCODE"",""CI0099-SGD"",""14=CARDNAME"",""SYNAPXE PTE. LTD."",""14=ITEMCODE"",""MS77D-00110GLP"",""14=ITEMNAME"",""MS "&amp;"VISUAL STUDIO PRO MSDN ALNG LSA"",""10=QUANTITY"",""39.000000"",""14=U_PONO"",""952391"",""15=U_PODATE"",""9/9/2024"",""10=U_TLINTCOS"",""0.000000"",""2=SLPCODE"",""132"",""14=SLPNAME"",""E0001-CS"",""14=MEMO"",""WENDY KUM CHIOU SZE"",""14=CONTACTNAME"",""E-INVOICE(AP DIRECT)"",""10=LINET"&amp;"OTAL"",""18954.000000"",""14=U_ENR"","""",""14=U_MSENR"",""S7138270"",""14=U_MSPCN"",""AD5A91AA"",""14=ADDRESS2"",""NANDINI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felicia.lin@synapxe.s"&amp;"g_x000D_EMAIL: nandini.sivasubramaniam@synapxe.sg"""</f>
        <v>"UICACS","","SQL=","2=DOCNUM","33036421","14=CUSTREF","7100000048","14=U_CUSTREF","7100000048","15=DOCDATE","10/9/2024","15=TAXDATE","10/9/2024","14=CARDCODE","CI0099-SGD","14=CARDNAME","SYNAPXE PTE. LTD.","14=ITEMCODE","MS77D-00110GLP","14=ITEMNAME","MS VISUAL STUDIO PRO MSDN ALNG LSA","10=QUANTITY","39.000000","14=U_PONO","952391","15=U_PODATE","9/9/2024","10=U_TLINTCOS","0.000000","2=SLPCODE","132","14=SLPNAME","E0001-CS","14=MEMO","WENDY KUM CHIOU SZE","14=CONTACTNAME","E-INVOICE(AP DIRECT)","10=LINETOTAL","18954.000000","14=U_ENR","","14=U_MSENR","S7138270","14=U_MSPCN","AD5A91AA","14=ADDRESS2","NANDINI DEVI_x000D_SYNAPXE PTE. LTD. 1 NORTH BUONA VISTA LINK, #05-01 ELEMENTUM SINGAPORE 139691_x000D_NANDINI DEVI /FELICIA LIN_x000D_TEL: 84989294_x000D_FAX: felicia.lin@synapxe.sg_x000D_EMAIL: nandini.sivasubramaniam@synapxe.sg"</v>
      </c>
      <c r="K28" s="4">
        <f>MONTH(N28)</f>
        <v>9</v>
      </c>
      <c r="L28" s="4">
        <f>YEAR(N28)</f>
        <v>2024</v>
      </c>
      <c r="M28" s="4">
        <v>33036421</v>
      </c>
      <c r="N28" s="38">
        <v>45545</v>
      </c>
      <c r="O28" s="4" t="str">
        <f>"S7138270"</f>
        <v>S7138270</v>
      </c>
      <c r="P28" s="4" t="str">
        <f>"AD5A91AA"</f>
        <v>AD5A91AA</v>
      </c>
      <c r="Q28" s="4" t="str">
        <f>"CI0099-SGD"</f>
        <v>CI0099-SGD</v>
      </c>
      <c r="R28" s="4" t="str">
        <f>"SYNAPXE PTE. LTD."</f>
        <v>SYNAPXE PTE. LTD.</v>
      </c>
      <c r="S28" s="50" t="str">
        <f>"952391"</f>
        <v>952391</v>
      </c>
      <c r="T28" s="50">
        <v>45544</v>
      </c>
      <c r="U28" s="50" t="str">
        <f>"7100000048"</f>
        <v>7100000048</v>
      </c>
      <c r="V28" s="50">
        <v>45545</v>
      </c>
      <c r="W28" s="51">
        <f>SUM(N28-T28)</f>
        <v>1</v>
      </c>
      <c r="X28" s="65" t="str">
        <f>"MS77D-00110GLP"</f>
        <v>MS77D-00110GLP</v>
      </c>
      <c r="Y28" s="65" t="str">
        <f>"MS VISUAL STUDIO PRO MSDN ALNG LSA"</f>
        <v>MS VISUAL STUDIO PRO MSDN ALNG LSA</v>
      </c>
      <c r="Z28" s="65" t="str">
        <f>"WENDY KUM CHIOU SZE"</f>
        <v>WENDY KUM CHIOU SZE</v>
      </c>
      <c r="AA28" s="60">
        <v>39</v>
      </c>
      <c r="AB28" s="65" t="str">
        <f>"E-INVOICE(AP DIRECT)"</f>
        <v>E-INVOICE(AP DIRECT)</v>
      </c>
      <c r="AC28" s="37">
        <f>IFERROR(AD28/AA28,0)</f>
        <v>486</v>
      </c>
      <c r="AD28" s="37">
        <v>18954</v>
      </c>
      <c r="AE28" s="63" t="str">
        <f>"-"</f>
        <v>-</v>
      </c>
      <c r="AF28" s="37">
        <v>18954</v>
      </c>
      <c r="AG28" s="63" t="s">
        <v>95</v>
      </c>
      <c r="AH28" s="67" t="str">
        <f>"NANDINI DEVI_x000D_SYNAPXE PTE. LTD. 1 NORTH BUONA VISTA LINK, #05-01 ELEMENTUM SINGAPORE 139691_x000D_NANDINI DEVI /FELICIA LIN_x000D_TEL: 84989294_x000D_FAX: felicia.lin@synapxe.sg_x000D_EMAIL: nandini.sivasubramaniam@synapxe.sg"</f>
        <v>NANDINI DEVI_x000D_SYNAPXE PTE. LTD. 1 NORTH BUONA VISTA LINK, #05-01 ELEMENTUM SINGAPORE 139691_x000D_NANDINI DEVI /FELICIA LIN_x000D_TEL: 84989294_x000D_FAX: felicia.lin@synapxe.sg_x000D_EMAIL: nandini.sivasubramaniam@synapxe.sg</v>
      </c>
      <c r="AI28" s="18"/>
      <c r="AJ28" s="63" t="s">
        <v>96</v>
      </c>
      <c r="AK28" s="4" t="str">
        <f>"MS77D-00110GLP"</f>
        <v>MS77D-00110GLP</v>
      </c>
      <c r="AL28" s="4" t="str">
        <f>"MS VISUAL STUDIO PRO MSDN ALNG LSA"</f>
        <v>MS VISUAL STUDIO PRO MSDN ALNG LSA</v>
      </c>
      <c r="AM28" s="4" t="s">
        <v>461</v>
      </c>
      <c r="AN28" s="4" t="s">
        <v>459</v>
      </c>
      <c r="AO28" s="4" t="s">
        <v>460</v>
      </c>
      <c r="AP28" s="4" t="str">
        <f>"-"</f>
        <v>-</v>
      </c>
    </row>
    <row r="29" spans="1:42">
      <c r="A29" s="1" t="s">
        <v>136</v>
      </c>
      <c r="B29" s="1" t="str">
        <f t="shared" si="0"/>
        <v>Show</v>
      </c>
      <c r="C29" s="4" t="s">
        <v>48</v>
      </c>
      <c r="E29" s="13" t="str">
        <f>"""UICACS"","""",""SQL="",""2=DOCNUM"",""33036421"",""14=CUSTREF"",""7100000048"",""14=U_CUSTREF"",""7100000048"",""15=DOCDATE"",""10/9/2024"",""15=TAXDATE"",""10/9/2024"",""14=CARDCODE"",""CI0099-SGD"",""14=CARDNAME"",""SYNAPXE PTE. LTD."",""14=ITEMCODE"",""MS77D-00110GLP"",""14=ITEMNAME"",""MS "&amp;"VISUAL STUDIO PRO MSDN ALNG LSA"",""10=QUANTITY"",""1.000000"",""14=U_PONO"",""952391"",""15=U_PODATE"",""9/9/2024"",""10=U_TLINTCOS"",""0.000000"",""2=SLPCODE"",""132"",""14=SLPNAME"",""E0001-CS"",""14=MEMO"",""WENDY KUM CHIOU SZE"",""14=CONTACTNAME"",""E-INVOICE(AP DIRECT)"",""10=LINETO"&amp;"TAL"",""486.150000"",""14=U_ENR"","""",""14=U_MSENR"",""S7138270"",""14=U_MSPCN"",""AD5A91AA"",""14=ADDRESS2"",""NANDINI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felicia.lin@synapxe.sg_x000D_E"&amp;"MAIL: nandini.sivasubramaniam@synapxe.sg"""</f>
        <v>"UICACS","","SQL=","2=DOCNUM","33036421","14=CUSTREF","7100000048","14=U_CUSTREF","7100000048","15=DOCDATE","10/9/2024","15=TAXDATE","10/9/2024","14=CARDCODE","CI0099-SGD","14=CARDNAME","SYNAPXE PTE. LTD.","14=ITEMCODE","MS77D-00110GLP","14=ITEMNAME","MS VISUAL STUDIO PRO MSDN ALNG LSA","10=QUANTITY","1.000000","14=U_PONO","952391","15=U_PODATE","9/9/2024","10=U_TLINTCOS","0.000000","2=SLPCODE","132","14=SLPNAME","E0001-CS","14=MEMO","WENDY KUM CHIOU SZE","14=CONTACTNAME","E-INVOICE(AP DIRECT)","10=LINETOTAL","486.150000","14=U_ENR","","14=U_MSENR","S7138270","14=U_MSPCN","AD5A91AA","14=ADDRESS2","NANDINI DEVI_x000D_SYNAPXE PTE. LTD. 1 NORTH BUONA VISTA LINK, #05-01 ELEMENTUM SINGAPORE 139691_x000D_NANDINI DEVI /FELICIA LIN_x000D_TEL: 84989294_x000D_FAX: felicia.lin@synapxe.sg_x000D_EMAIL: nandini.sivasubramaniam@synapxe.sg"</v>
      </c>
      <c r="K29" s="4">
        <f>MONTH(N29)</f>
        <v>9</v>
      </c>
      <c r="L29" s="4">
        <f>YEAR(N29)</f>
        <v>2024</v>
      </c>
      <c r="M29" s="4">
        <v>33036421</v>
      </c>
      <c r="N29" s="38">
        <v>45545</v>
      </c>
      <c r="O29" s="4" t="str">
        <f>"S7138270"</f>
        <v>S7138270</v>
      </c>
      <c r="P29" s="4" t="str">
        <f>"AD5A91AA"</f>
        <v>AD5A91AA</v>
      </c>
      <c r="Q29" s="4" t="str">
        <f>"CI0099-SGD"</f>
        <v>CI0099-SGD</v>
      </c>
      <c r="R29" s="4" t="str">
        <f>"SYNAPXE PTE. LTD."</f>
        <v>SYNAPXE PTE. LTD.</v>
      </c>
      <c r="S29" s="50" t="str">
        <f>"952391"</f>
        <v>952391</v>
      </c>
      <c r="T29" s="50">
        <v>45544</v>
      </c>
      <c r="U29" s="50" t="str">
        <f>"7100000048"</f>
        <v>7100000048</v>
      </c>
      <c r="V29" s="50">
        <v>45545</v>
      </c>
      <c r="W29" s="51">
        <f>SUM(N29-T29)</f>
        <v>1</v>
      </c>
      <c r="X29" s="65" t="str">
        <f>"MS77D-00110GLP"</f>
        <v>MS77D-00110GLP</v>
      </c>
      <c r="Y29" s="65" t="str">
        <f>"MS VISUAL STUDIO PRO MSDN ALNG LSA"</f>
        <v>MS VISUAL STUDIO PRO MSDN ALNG LSA</v>
      </c>
      <c r="Z29" s="65" t="str">
        <f>"WENDY KUM CHIOU SZE"</f>
        <v>WENDY KUM CHIOU SZE</v>
      </c>
      <c r="AA29" s="60">
        <v>1</v>
      </c>
      <c r="AB29" s="65" t="str">
        <f>"E-INVOICE(AP DIRECT)"</f>
        <v>E-INVOICE(AP DIRECT)</v>
      </c>
      <c r="AC29" s="37">
        <f>IFERROR(AD29/AA29,0)</f>
        <v>486.15</v>
      </c>
      <c r="AD29" s="37">
        <v>486.15</v>
      </c>
      <c r="AE29" s="63" t="str">
        <f>"-"</f>
        <v>-</v>
      </c>
      <c r="AF29" s="37">
        <v>486.15</v>
      </c>
      <c r="AG29" s="63" t="s">
        <v>95</v>
      </c>
      <c r="AH29" s="67" t="str">
        <f>"NANDINI DEVI_x000D_SYNAPXE PTE. LTD. 1 NORTH BUONA VISTA LINK, #05-01 ELEMENTUM SINGAPORE 139691_x000D_NANDINI DEVI /FELICIA LIN_x000D_TEL: 84989294_x000D_FAX: felicia.lin@synapxe.sg_x000D_EMAIL: nandini.sivasubramaniam@synapxe.sg"</f>
        <v>NANDINI DEVI_x000D_SYNAPXE PTE. LTD. 1 NORTH BUONA VISTA LINK, #05-01 ELEMENTUM SINGAPORE 139691_x000D_NANDINI DEVI /FELICIA LIN_x000D_TEL: 84989294_x000D_FAX: felicia.lin@synapxe.sg_x000D_EMAIL: nandini.sivasubramaniam@synapxe.sg</v>
      </c>
      <c r="AI29" s="18"/>
      <c r="AJ29" s="63" t="s">
        <v>96</v>
      </c>
      <c r="AK29" s="4" t="str">
        <f>"MS77D-00110GLP"</f>
        <v>MS77D-00110GLP</v>
      </c>
      <c r="AL29" s="4" t="str">
        <f>"MS VISUAL STUDIO PRO MSDN ALNG LSA"</f>
        <v>MS VISUAL STUDIO PRO MSDN ALNG LSA</v>
      </c>
      <c r="AM29" s="4" t="s">
        <v>461</v>
      </c>
      <c r="AN29" s="4" t="s">
        <v>459</v>
      </c>
      <c r="AO29" s="4" t="s">
        <v>460</v>
      </c>
      <c r="AP29" s="4" t="str">
        <f>"-"</f>
        <v>-</v>
      </c>
    </row>
    <row r="30" spans="1:42">
      <c r="A30" s="1" t="s">
        <v>136</v>
      </c>
      <c r="B30" s="1" t="str">
        <f t="shared" si="0"/>
        <v>Show</v>
      </c>
      <c r="C30" s="4" t="s">
        <v>48</v>
      </c>
      <c r="E30" s="13" t="str">
        <f>"""UICACS"","""",""SQL="",""2=DOCNUM"",""33036471"",""14=CUSTREF"",""9451013760"",""14=U_CUSTREF"",""9451013760"",""15=DOCDATE"",""17/9/2024"",""15=TAXDATE"",""17/9/2024"",""14=CARDCODE"",""CA0216-SGD"",""14=CARDNAME"",""AGENCY FOR INTEGRATED CARE PTE. LTD."",""14=ITEMCODE"",""MS7NQ-00300GLP"""&amp;",""14=ITEMNAME"",""MS SQL SERVER STANDARD CORE SLNG LSA 2L"",""10=QUANTITY"",""2.000000"",""14=U_PONO"",""952539"",""15=U_PODATE"",""16/9/2024"",""10=U_TLINTCOS"",""0.000000"",""2=SLPCODE"",""132"",""14=SLPNAME"",""E0001-CS"",""14=MEMO"",""WENDY KUM CHIOU SZE"",""14=CONTACTNAME"",""YVONNE "&amp;"YAP YEN WUN"",""10=LINETOTAL"",""10884.300000"",""14=U_ENR"","""",""14=U_MSENR"",""S7138270"",""14=U_MSPCN"",""A807846F"",""14=ADDRESS2"",""YVONNE YAP YEN WUN_x000D_AGENCY FOR INTEGRATED CARE PTE. LTD. 5 MAXWELL ROAD, #10-00 TOWER BLOCK, MND COMPLEX SINGAPORE 069110_x000D_YVONNE YAP YEN"&amp;" WUN_x000D_TEL: 91446959_x000D_FAX: _x000D_EMAIL: YVONNE.YAP@SYNAPXE.SG"""</f>
        <v>"UICACS","","SQL=","2=DOCNUM","33036471","14=CUSTREF","9451013760","14=U_CUSTREF","9451013760","15=DOCDATE","17/9/2024","15=TAXDATE","17/9/2024","14=CARDCODE","CA0216-SGD","14=CARDNAME","AGENCY FOR INTEGRATED CARE PTE. LTD.","14=ITEMCODE","MS7NQ-00300GLP","14=ITEMNAME","MS SQL SERVER STANDARD CORE SLNG LSA 2L","10=QUANTITY","2.000000","14=U_PONO","952539","15=U_PODATE","16/9/2024","10=U_TLINTCOS","0.000000","2=SLPCODE","132","14=SLPNAME","E0001-CS","14=MEMO","WENDY KUM CHIOU SZE","14=CONTACTNAME","YVONNE YAP YEN WUN","10=LINETOTAL","10884.300000","14=U_ENR","","14=U_MSENR","S7138270","14=U_MSPCN","A807846F","14=ADDRESS2","YVONNE YAP YEN WUN_x000D_AGENCY FOR INTEGRATED CARE PTE. LTD. 5 MAXWELL ROAD, #10-00 TOWER BLOCK, MND COMPLEX SINGAPORE 069110_x000D_YVONNE YAP YEN WUN_x000D_TEL: 91446959_x000D_FAX: _x000D_EMAIL: YVONNE.YAP@SYNAPXE.SG"</v>
      </c>
      <c r="K30" s="4">
        <f>MONTH(N30)</f>
        <v>9</v>
      </c>
      <c r="L30" s="4">
        <f>YEAR(N30)</f>
        <v>2024</v>
      </c>
      <c r="M30" s="4">
        <v>33036471</v>
      </c>
      <c r="N30" s="38">
        <v>45552</v>
      </c>
      <c r="O30" s="4" t="str">
        <f>"S7138270"</f>
        <v>S7138270</v>
      </c>
      <c r="P30" s="4" t="str">
        <f>"A807846F"</f>
        <v>A807846F</v>
      </c>
      <c r="Q30" s="4" t="str">
        <f>"CA0216-SGD"</f>
        <v>CA0216-SGD</v>
      </c>
      <c r="R30" s="4" t="str">
        <f>"AGENCY FOR INTEGRATED CARE PTE. LTD."</f>
        <v>AGENCY FOR INTEGRATED CARE PTE. LTD.</v>
      </c>
      <c r="S30" s="50" t="str">
        <f>"952539"</f>
        <v>952539</v>
      </c>
      <c r="T30" s="50">
        <v>45551</v>
      </c>
      <c r="U30" s="50" t="str">
        <f>"9451013760"</f>
        <v>9451013760</v>
      </c>
      <c r="V30" s="50">
        <v>45552</v>
      </c>
      <c r="W30" s="51">
        <f>SUM(N30-T30)</f>
        <v>1</v>
      </c>
      <c r="X30" s="65" t="str">
        <f>"MS7NQ-00300GLP"</f>
        <v>MS7NQ-00300GLP</v>
      </c>
      <c r="Y30" s="65" t="str">
        <f>"MS SQL SERVER STANDARD CORE SLNG LSA 2L"</f>
        <v>MS SQL SERVER STANDARD CORE SLNG LSA 2L</v>
      </c>
      <c r="Z30" s="65" t="str">
        <f>"WENDY KUM CHIOU SZE"</f>
        <v>WENDY KUM CHIOU SZE</v>
      </c>
      <c r="AA30" s="60">
        <v>2</v>
      </c>
      <c r="AB30" s="65" t="str">
        <f>"YVONNE YAP YEN WUN"</f>
        <v>YVONNE YAP YEN WUN</v>
      </c>
      <c r="AC30" s="37">
        <f>IFERROR(AD30/AA30,0)</f>
        <v>5442.15</v>
      </c>
      <c r="AD30" s="37">
        <v>10884.3</v>
      </c>
      <c r="AE30" s="63" t="str">
        <f>"-"</f>
        <v>-</v>
      </c>
      <c r="AF30" s="37">
        <v>10884.3</v>
      </c>
      <c r="AG30" s="63" t="s">
        <v>95</v>
      </c>
      <c r="AH30" s="67" t="str">
        <f>"YVONNE YAP YEN WUN_x000D_AGENCY FOR INTEGRATED CARE PTE. LTD. 5 MAXWELL ROAD, #10-00 TOWER BLOCK, MND COMPLEX SINGAPORE 069110_x000D_YVONNE YAP YEN WUN_x000D_TEL: 91446959_x000D_FAX: _x000D_EMAIL: YVONNE.YAP@SYNAPXE.SG"</f>
        <v>YVONNE YAP YEN WUN_x000D_AGENCY FOR INTEGRATED CARE PTE. LTD. 5 MAXWELL ROAD, #10-00 TOWER BLOCK, MND COMPLEX SINGAPORE 069110_x000D_YVONNE YAP YEN WUN_x000D_TEL: 91446959_x000D_FAX: _x000D_EMAIL: YVONNE.YAP@SYNAPXE.SG</v>
      </c>
      <c r="AI30" s="18"/>
      <c r="AJ30" s="63" t="s">
        <v>96</v>
      </c>
      <c r="AK30" s="4" t="str">
        <f>"MS7NQ-00300GLP"</f>
        <v>MS7NQ-00300GLP</v>
      </c>
      <c r="AL30" s="4" t="str">
        <f>"MS SQL SERVER STANDARD CORE SLNG LSA 2L"</f>
        <v>MS SQL SERVER STANDARD CORE SLNG LSA 2L</v>
      </c>
      <c r="AM30" s="4" t="s">
        <v>461</v>
      </c>
      <c r="AN30" s="4" t="s">
        <v>459</v>
      </c>
      <c r="AO30" s="4" t="s">
        <v>462</v>
      </c>
      <c r="AP30" s="4" t="str">
        <f>"-"</f>
        <v>-</v>
      </c>
    </row>
    <row r="31" spans="1:42">
      <c r="A31" s="1" t="s">
        <v>136</v>
      </c>
      <c r="B31" s="1" t="str">
        <f t="shared" si="0"/>
        <v>Show</v>
      </c>
      <c r="C31" s="4" t="s">
        <v>48</v>
      </c>
      <c r="E31" s="13" t="str">
        <f>"""UICACS"","""",""SQL="",""2=DOCNUM"",""33036483"",""14=CUSTREF"",""8100000422"",""14=U_CUSTREF"",""8100000422"",""15=DOCDATE"",""19/9/2024"",""15=TAXDATE"",""19/9/2024"",""14=CARDCODE"",""CI0099-SGD"",""14=CARDNAME"",""SYNAPXE PTE. LTD."",""14=ITEMCODE"",""MS7JQ-00355GLP"",""14=ITEMNAME"",""MS "&amp;"SQL SERVER ENTERPRISE CORE SLNG SA 2L"",""10=QUANTITY"",""8.000000"",""14=U_PONO"",""ESU952562"",""15=U_PODATE"",""16/9/2024"",""10=U_TLINTCOS"",""0.000000"",""2=SLPCODE"",""101"",""14=SLPNAME"",""E0001-MM"",""14=MEMO"",""MELIZA MARQUEZ"",""14=CONTACTNAME"",""E-INVOICE(AP DIRECT)"",""10=L"&amp;"INETOTAL"",""56845.200000"",""14=U_ENR"","""",""14=U_MSENR"",""S7138270"",""14=U_MSPCN"",""AB57EDFE"",""14=ADDRESS2"",""PHYLLIS SEE CHAI HOON_x000D_SYNAPXE PTE LTD. 6 SERANGOON NORTH AVENUE 5, #01-01/02  SINGAPORE 554910_x000D__x000D_TEL: 1800-796-2793_x000D_FAX: _x000D_EMAIL: phyllis.see@synapxe.sg"""</f>
        <v>"UICACS","","SQL=","2=DOCNUM","33036483","14=CUSTREF","8100000422","14=U_CUSTREF","8100000422","15=DOCDATE","19/9/2024","15=TAXDATE","19/9/2024","14=CARDCODE","CI0099-SGD","14=CARDNAME","SYNAPXE PTE. LTD.","14=ITEMCODE","MS7JQ-00355GLP","14=ITEMNAME","MS SQL SERVER ENTERPRISE CORE SLNG SA 2L","10=QUANTITY","8.000000","14=U_PONO","ESU952562","15=U_PODATE","16/9/2024","10=U_TLINTCOS","0.000000","2=SLPCODE","101","14=SLPNAME","E0001-MM","14=MEMO","MELIZA MARQUEZ","14=CONTACTNAME","E-INVOICE(AP DIRECT)","10=LINETOTAL","56845.200000","14=U_ENR","","14=U_MSENR","S7138270","14=U_MSPCN","AB57EDFE","14=ADDRESS2","PHYLLIS SEE CHAI HOON_x000D_SYNAPXE PTE LTD. 6 SERANGOON NORTH AVENUE 5, #01-01/02  SINGAPORE 554910_x000D__x000D_TEL: 1800-796-2793_x000D_FAX: _x000D_EMAIL: phyllis.see@synapxe.sg"</v>
      </c>
      <c r="K31" s="4">
        <f>MONTH(N31)</f>
        <v>9</v>
      </c>
      <c r="L31" s="4">
        <f>YEAR(N31)</f>
        <v>2024</v>
      </c>
      <c r="M31" s="4">
        <v>33036483</v>
      </c>
      <c r="N31" s="38">
        <v>45554</v>
      </c>
      <c r="O31" s="4" t="str">
        <f>"S7138270"</f>
        <v>S7138270</v>
      </c>
      <c r="P31" s="4" t="str">
        <f>"AB57EDFE"</f>
        <v>AB57EDFE</v>
      </c>
      <c r="Q31" s="4" t="str">
        <f>"CI0099-SGD"</f>
        <v>CI0099-SGD</v>
      </c>
      <c r="R31" s="4" t="str">
        <f>"SYNAPXE PTE. LTD."</f>
        <v>SYNAPXE PTE. LTD.</v>
      </c>
      <c r="S31" s="50" t="str">
        <f>"952562"</f>
        <v>952562</v>
      </c>
      <c r="T31" s="50">
        <v>45551</v>
      </c>
      <c r="U31" s="50" t="str">
        <f>"8100000422"</f>
        <v>8100000422</v>
      </c>
      <c r="V31" s="50">
        <v>45554</v>
      </c>
      <c r="W31" s="51">
        <f>SUM(N31-T31)</f>
        <v>3</v>
      </c>
      <c r="X31" s="65" t="str">
        <f>"MS7JQ-00355GLP"</f>
        <v>MS7JQ-00355GLP</v>
      </c>
      <c r="Y31" s="65" t="str">
        <f>"MS SQL SERVER ENTERPRISE CORE SLNG SA 2L"</f>
        <v>MS SQL SERVER ENTERPRISE CORE SLNG SA 2L</v>
      </c>
      <c r="Z31" s="65" t="str">
        <f>"MELIZA MARQUEZ"</f>
        <v>MELIZA MARQUEZ</v>
      </c>
      <c r="AA31" s="60">
        <v>8</v>
      </c>
      <c r="AB31" s="65" t="str">
        <f>"E-INVOICE(AP DIRECT)"</f>
        <v>E-INVOICE(AP DIRECT)</v>
      </c>
      <c r="AC31" s="37">
        <f>IFERROR(AD31/AA31,0)</f>
        <v>7105.65</v>
      </c>
      <c r="AD31" s="37">
        <v>56845.2</v>
      </c>
      <c r="AE31" s="63" t="str">
        <f>"-"</f>
        <v>-</v>
      </c>
      <c r="AF31" s="37">
        <v>56845.2</v>
      </c>
      <c r="AG31" s="63" t="s">
        <v>95</v>
      </c>
      <c r="AH31" s="67" t="str">
        <f>"PHYLLIS SEE CHAI HOON_x000D_SYNAPXE PTE LTD. 6 SERANGOON NORTH AVENUE 5, #01-01/02  SINGAPORE 554910_x000D__x000D_TEL: 1800-796-2793_x000D_FAX: _x000D_EMAIL: phyllis.see@synapxe.sg"</f>
        <v>PHYLLIS SEE CHAI HOON_x000D_SYNAPXE PTE LTD. 6 SERANGOON NORTH AVENUE 5, #01-01/02  SINGAPORE 554910_x000D__x000D_TEL: 1800-796-2793_x000D_FAX: _x000D_EMAIL: phyllis.see@synapxe.sg</v>
      </c>
      <c r="AI31" s="18"/>
      <c r="AJ31" s="63" t="s">
        <v>96</v>
      </c>
      <c r="AK31" s="4" t="str">
        <f>"MS7JQ-00355GLP"</f>
        <v>MS7JQ-00355GLP</v>
      </c>
      <c r="AL31" s="4" t="str">
        <f>"MS SQL SERVER ENTERPRISE CORE SLNG SA 2L"</f>
        <v>MS SQL SERVER ENTERPRISE CORE SLNG SA 2L</v>
      </c>
      <c r="AM31" s="4" t="s">
        <v>457</v>
      </c>
      <c r="AN31" s="4" t="s">
        <v>459</v>
      </c>
      <c r="AO31" s="4" t="s">
        <v>462</v>
      </c>
      <c r="AP31" s="4" t="str">
        <f>"-"</f>
        <v>-</v>
      </c>
    </row>
    <row r="32" spans="1:42">
      <c r="A32" s="1" t="s">
        <v>136</v>
      </c>
      <c r="B32" s="1" t="str">
        <f t="shared" si="0"/>
        <v>Show</v>
      </c>
      <c r="C32" s="4" t="s">
        <v>48</v>
      </c>
      <c r="E32" s="13" t="str">
        <f>"""UICACS"","""",""SQL="",""2=DOCNUM"",""33036523"",""14=CUSTREF"",""7100000052"",""14=U_CUSTREF"",""7100000052"",""15=DOCDATE"",""25/9/2024"",""15=TAXDATE"",""25/9/2024"",""14=CARDCODE"",""CI0099-SGD"",""14=CARDNAME"",""SYNAPXE PTE. LTD."",""14=ITEMCODE"",""MS7NQ-00300GLP"",""14=ITEMNAME"",""MS "&amp;"SQL SERVER STANDARD CORE SLNG LSA 2L"",""10=QUANTITY"",""2.000000"",""14=U_PONO"",""952679"",""15=U_PODATE"",""24/9/2024"",""10=U_TLINTCOS"",""0.000000"",""2=SLPCODE"",""132"",""14=SLPNAME"",""E0001-CS"",""14=MEMO"",""WENDY KUM CHIOU SZE"",""14=CONTACTNAME"",""E-INVOICE(AP DIRECT)"",""10="&amp;"LINETOTAL"",""11802.740000"",""14=U_ENR"","""",""14=U_MSENR"",""S7138270"",""14=U_MSPCN"",""AD5A91AA"",""14=ADDRESS2"",""JAWAHAR HUSSAIN RAJAMOHAMED_x000D_SYNAPXE PTE. LTD. 1 NORTH BUONA VISTA LINK #05-01 ELEMENTUM SINGAPORE 139691_x000D_JAWAHAR HUSSAIN RAJAMOHAMED_x000D_TEL: _x000D_FAX: _x000D_EMAIL: "&amp;"JAWAHAR.HUSSAIN.RAJAMOHAMED@SYNAPXE.SG"""</f>
        <v>"UICACS","","SQL=","2=DOCNUM","33036523","14=CUSTREF","7100000052","14=U_CUSTREF","7100000052","15=DOCDATE","25/9/2024","15=TAXDATE","25/9/2024","14=CARDCODE","CI0099-SGD","14=CARDNAME","SYNAPXE PTE. LTD.","14=ITEMCODE","MS7NQ-00300GLP","14=ITEMNAME","MS SQL SERVER STANDARD CORE SLNG LSA 2L","10=QUANTITY","2.000000","14=U_PONO","952679","15=U_PODATE","24/9/2024","10=U_TLINTCOS","0.000000","2=SLPCODE","132","14=SLPNAME","E0001-CS","14=MEMO","WENDY KUM CHIOU SZE","14=CONTACTNAME","E-INVOICE(AP DIRECT)","10=LINETOTAL","11802.740000","14=U_ENR","","14=U_MSENR","S7138270","14=U_MSPCN","AD5A91AA","14=ADDRESS2","JAWAHAR HUSSAIN RAJAMOHAMED_x000D_SYNAPXE PTE. LTD. 1 NORTH BUONA VISTA LINK #05-01 ELEMENTUM SINGAPORE 139691_x000D_JAWAHAR HUSSAIN RAJAMOHAMED_x000D_TEL: _x000D_FAX: _x000D_EMAIL: JAWAHAR.HUSSAIN.RAJAMOHAMED@SYNAPXE.SG"</v>
      </c>
      <c r="K32" s="4">
        <f>MONTH(N32)</f>
        <v>9</v>
      </c>
      <c r="L32" s="4">
        <f>YEAR(N32)</f>
        <v>2024</v>
      </c>
      <c r="M32" s="4">
        <v>33036523</v>
      </c>
      <c r="N32" s="38">
        <v>45560</v>
      </c>
      <c r="O32" s="4" t="str">
        <f>"S7138270"</f>
        <v>S7138270</v>
      </c>
      <c r="P32" s="4" t="str">
        <f>"AD5A91AA"</f>
        <v>AD5A91AA</v>
      </c>
      <c r="Q32" s="4" t="str">
        <f>"CI0099-SGD"</f>
        <v>CI0099-SGD</v>
      </c>
      <c r="R32" s="4" t="str">
        <f>"SYNAPXE PTE. LTD."</f>
        <v>SYNAPXE PTE. LTD.</v>
      </c>
      <c r="S32" s="50" t="str">
        <f>"952679"</f>
        <v>952679</v>
      </c>
      <c r="T32" s="50">
        <v>45559</v>
      </c>
      <c r="U32" s="50" t="str">
        <f>"7100000052"</f>
        <v>7100000052</v>
      </c>
      <c r="V32" s="50">
        <v>45560</v>
      </c>
      <c r="W32" s="51">
        <f>SUM(N32-T32)</f>
        <v>1</v>
      </c>
      <c r="X32" s="65" t="str">
        <f>"MS7NQ-00300GLP"</f>
        <v>MS7NQ-00300GLP</v>
      </c>
      <c r="Y32" s="65" t="str">
        <f>"MS SQL SERVER STANDARD CORE SLNG LSA 2L"</f>
        <v>MS SQL SERVER STANDARD CORE SLNG LSA 2L</v>
      </c>
      <c r="Z32" s="65" t="str">
        <f>"WENDY KUM CHIOU SZE"</f>
        <v>WENDY KUM CHIOU SZE</v>
      </c>
      <c r="AA32" s="60">
        <v>2</v>
      </c>
      <c r="AB32" s="65" t="str">
        <f>"E-INVOICE(AP DIRECT)"</f>
        <v>E-INVOICE(AP DIRECT)</v>
      </c>
      <c r="AC32" s="37">
        <f>IFERROR(AD32/AA32,0)</f>
        <v>5901.37</v>
      </c>
      <c r="AD32" s="37">
        <v>11802.74</v>
      </c>
      <c r="AE32" s="63" t="str">
        <f>"-"</f>
        <v>-</v>
      </c>
      <c r="AF32" s="37">
        <v>11802.74</v>
      </c>
      <c r="AG32" s="63" t="s">
        <v>95</v>
      </c>
      <c r="AH32" s="67" t="str">
        <f>"JAWAHAR HUSSAIN RAJAMOHAMED_x000D_SYNAPXE PTE. LTD. 1 NORTH BUONA VISTA LINK #05-01 ELEMENTUM SINGAPORE 139691_x000D_JAWAHAR HUSSAIN RAJAMOHAMED_x000D_TEL: _x000D_FAX: _x000D_EMAIL: JAWAHAR.HUSSAIN.RAJAMOHAMED@SYNAPXE.SG"</f>
        <v>JAWAHAR HUSSAIN RAJAMOHAMED_x000D_SYNAPXE PTE. LTD. 1 NORTH BUONA VISTA LINK #05-01 ELEMENTUM SINGAPORE 139691_x000D_JAWAHAR HUSSAIN RAJAMOHAMED_x000D_TEL: _x000D_FAX: _x000D_EMAIL: JAWAHAR.HUSSAIN.RAJAMOHAMED@SYNAPXE.SG</v>
      </c>
      <c r="AI32" s="18"/>
      <c r="AJ32" s="63" t="s">
        <v>96</v>
      </c>
      <c r="AK32" s="4" t="str">
        <f>"MS7NQ-00300GLP"</f>
        <v>MS7NQ-00300GLP</v>
      </c>
      <c r="AL32" s="4" t="str">
        <f>"MS SQL SERVER STANDARD CORE SLNG LSA 2L"</f>
        <v>MS SQL SERVER STANDARD CORE SLNG LSA 2L</v>
      </c>
      <c r="AM32" s="4" t="s">
        <v>461</v>
      </c>
      <c r="AN32" s="4" t="s">
        <v>459</v>
      </c>
      <c r="AO32" s="4" t="s">
        <v>463</v>
      </c>
      <c r="AP32" s="4" t="str">
        <f>"-"</f>
        <v>-</v>
      </c>
    </row>
    <row r="33" spans="1:60">
      <c r="A33" s="1" t="s">
        <v>136</v>
      </c>
      <c r="B33" s="1" t="str">
        <f t="shared" si="0"/>
        <v>Show</v>
      </c>
      <c r="C33" s="4" t="s">
        <v>48</v>
      </c>
      <c r="E33" s="13" t="str">
        <f>"""UICACS"","""",""SQL="",""2=DOCNUM"",""33036603"",""14=CUSTREF"",""8100000458"",""14=U_CUSTREF"",""8100000458"",""15=DOCDATE"",""27/9/2024"",""15=TAXDATE"",""27/9/2024"",""14=CARDCODE"",""CI0099-SGD"",""14=CARDNAME"",""SYNAPXE PTE. LTD."",""14=ITEMCODE"",""MS6VC-01288GLP"",""14=ITEMNAME"",""MS "&amp;"WIN REMOTE DESKTOP SERVICES CAL SLNG LSA UCAL"",""10=QUANTITY"",""10.000000"",""14=U_PONO"",""952774"",""15=U_PODATE"",""26/9/2024"",""10=U_TLINTCOS"",""0.000000"",""2=SLPCODE"",""132"",""14=SLPNAME"",""E0001-CS"",""14=MEMO"",""WENDY KUM CHIOU SZE"",""14=CONTACTNAME"",""E-INVOICE(AP DIR"&amp;"ECT)"",""10=LINETOTAL"",""2184.600000"",""14=U_ENR"","""",""14=U_MSENR"",""S7138270"",""14=U_MSPCN"",""AD5A91AA"",""14=ADDRESS2"",""LAWRENCE OH_x000D_SYNAPXE PTE. LTD. 1 NORTH BUONA VISTA LINK #05-01 ELEMENTUM SINGAPORE 139691_x000D_LAWRENCE OH_x000D_TEL: 85281120_x000D_FAX: _x000D_EMAIL: LAWRENCE.OH@SYN"&amp;"APXE.SG"""</f>
        <v>"UICACS","","SQL=","2=DOCNUM","33036603","14=CUSTREF","8100000458","14=U_CUSTREF","8100000458","15=DOCDATE","27/9/2024","15=TAXDATE","27/9/2024","14=CARDCODE","CI0099-SGD","14=CARDNAME","SYNAPXE PTE. LTD.","14=ITEMCODE","MS6VC-01288GLP","14=ITEMNAME","MS WIN REMOTE DESKTOP SERVICES CAL SLNG LSA UCAL","10=QUANTITY","10.000000","14=U_PONO","952774","15=U_PODATE","26/9/2024","10=U_TLINTCOS","0.000000","2=SLPCODE","132","14=SLPNAME","E0001-CS","14=MEMO","WENDY KUM CHIOU SZE","14=CONTACTNAME","E-INVOICE(AP DIRECT)","10=LINETOTAL","2184.600000","14=U_ENR","","14=U_MSENR","S7138270","14=U_MSPCN","AD5A91AA","14=ADDRESS2","LAWRENCE OH_x000D_SYNAPXE PTE. LTD. 1 NORTH BUONA VISTA LINK #05-01 ELEMENTUM SINGAPORE 139691_x000D_LAWRENCE OH_x000D_TEL: 85281120_x000D_FAX: _x000D_EMAIL: LAWRENCE.OH@SYNAPXE.SG"</v>
      </c>
      <c r="K33" s="4">
        <f>MONTH(N33)</f>
        <v>9</v>
      </c>
      <c r="L33" s="4">
        <f>YEAR(N33)</f>
        <v>2024</v>
      </c>
      <c r="M33" s="4">
        <v>33036603</v>
      </c>
      <c r="N33" s="38">
        <v>45562</v>
      </c>
      <c r="O33" s="4" t="str">
        <f>"S7138270"</f>
        <v>S7138270</v>
      </c>
      <c r="P33" s="4" t="str">
        <f>"AD5A91AA"</f>
        <v>AD5A91AA</v>
      </c>
      <c r="Q33" s="4" t="str">
        <f>"CI0099-SGD"</f>
        <v>CI0099-SGD</v>
      </c>
      <c r="R33" s="4" t="str">
        <f>"SYNAPXE PTE. LTD."</f>
        <v>SYNAPXE PTE. LTD.</v>
      </c>
      <c r="S33" s="50" t="str">
        <f>"952774"</f>
        <v>952774</v>
      </c>
      <c r="T33" s="50">
        <v>45561</v>
      </c>
      <c r="U33" s="50" t="str">
        <f>"8100000458"</f>
        <v>8100000458</v>
      </c>
      <c r="V33" s="50">
        <v>45562</v>
      </c>
      <c r="W33" s="51">
        <f>SUM(N33-T33)</f>
        <v>1</v>
      </c>
      <c r="X33" s="65" t="str">
        <f>"MS6VC-01288GLP"</f>
        <v>MS6VC-01288GLP</v>
      </c>
      <c r="Y33" s="65" t="str">
        <f>"MS WIN REMOTE DESKTOP SERVICES CAL SLNG LSA UCAL"</f>
        <v>MS WIN REMOTE DESKTOP SERVICES CAL SLNG LSA UCAL</v>
      </c>
      <c r="Z33" s="65" t="str">
        <f>"WENDY KUM CHIOU SZE"</f>
        <v>WENDY KUM CHIOU SZE</v>
      </c>
      <c r="AA33" s="60">
        <v>10</v>
      </c>
      <c r="AB33" s="65" t="str">
        <f>"E-INVOICE(AP DIRECT)"</f>
        <v>E-INVOICE(AP DIRECT)</v>
      </c>
      <c r="AC33" s="37">
        <f>IFERROR(AD33/AA33,0)</f>
        <v>218.45999999999998</v>
      </c>
      <c r="AD33" s="37">
        <v>2184.6</v>
      </c>
      <c r="AE33" s="63" t="str">
        <f>"-"</f>
        <v>-</v>
      </c>
      <c r="AF33" s="37">
        <v>2184.6</v>
      </c>
      <c r="AG33" s="63" t="s">
        <v>95</v>
      </c>
      <c r="AH33" s="67" t="str">
        <f>"LAWRENCE OH_x000D_SYNAPXE PTE. LTD. 1 NORTH BUONA VISTA LINK #05-01 ELEMENTUM SINGAPORE 139691_x000D_LAWRENCE OH_x000D_TEL: 85281120_x000D_FAX: _x000D_EMAIL: LAWRENCE.OH@SYNAPXE.SG"</f>
        <v>LAWRENCE OH_x000D_SYNAPXE PTE. LTD. 1 NORTH BUONA VISTA LINK #05-01 ELEMENTUM SINGAPORE 139691_x000D_LAWRENCE OH_x000D_TEL: 85281120_x000D_FAX: _x000D_EMAIL: LAWRENCE.OH@SYNAPXE.SG</v>
      </c>
      <c r="AI33" s="18"/>
      <c r="AJ33" s="63" t="s">
        <v>96</v>
      </c>
      <c r="AK33" s="4" t="str">
        <f>"MS6VC-01288GLP"</f>
        <v>MS6VC-01288GLP</v>
      </c>
      <c r="AL33" s="4" t="str">
        <f>"MS WIN REMOTE DESKTOP SERVICES CAL SLNG LSA UCAL"</f>
        <v>MS WIN REMOTE DESKTOP SERVICES CAL SLNG LSA UCAL</v>
      </c>
      <c r="AM33" s="4" t="s">
        <v>461</v>
      </c>
      <c r="AN33" s="4" t="s">
        <v>459</v>
      </c>
      <c r="AO33" s="4" t="s">
        <v>456</v>
      </c>
      <c r="AP33" s="4" t="str">
        <f>"-"</f>
        <v>-</v>
      </c>
    </row>
    <row r="34" spans="1:60" hidden="1">
      <c r="B34" s="1" t="str">
        <f>IF(M34="","Hide","Show")</f>
        <v>Hide</v>
      </c>
      <c r="C34" s="4" t="s">
        <v>49</v>
      </c>
      <c r="E34" s="13" t="str">
        <f>""</f>
        <v/>
      </c>
      <c r="M34" s="4" t="str">
        <f>""</f>
        <v/>
      </c>
      <c r="N34" s="38" t="str">
        <f>""</f>
        <v/>
      </c>
      <c r="O34" s="4" t="str">
        <f>""</f>
        <v/>
      </c>
      <c r="P34" s="4"/>
      <c r="Q34" s="4" t="str">
        <f>""</f>
        <v/>
      </c>
      <c r="R34" s="4" t="str">
        <f>""</f>
        <v/>
      </c>
      <c r="T34" s="45" t="str">
        <f>""</f>
        <v/>
      </c>
      <c r="U34" s="45" t="str">
        <f>""</f>
        <v/>
      </c>
      <c r="V34" s="52"/>
      <c r="W34" s="51"/>
      <c r="X34" s="4" t="str">
        <f>""</f>
        <v/>
      </c>
      <c r="Y34" s="4" t="str">
        <f>""</f>
        <v/>
      </c>
      <c r="Z34" s="4" t="str">
        <f>""</f>
        <v/>
      </c>
      <c r="AA34" s="60" t="str">
        <f>""</f>
        <v/>
      </c>
      <c r="AB34" s="4" t="str">
        <f>""</f>
        <v/>
      </c>
      <c r="AC34" s="37">
        <f>IFERROR(AD34/AA34,0)</f>
        <v>0</v>
      </c>
      <c r="AD34" s="37" t="str">
        <f>""</f>
        <v/>
      </c>
      <c r="AE34" s="63"/>
      <c r="AF34" s="18"/>
      <c r="AG34" s="63"/>
      <c r="AH34" s="18" t="str">
        <f>""</f>
        <v/>
      </c>
      <c r="AI34" s="18"/>
      <c r="AJ34" s="63"/>
      <c r="AK34" s="18"/>
      <c r="AL34" s="5" t="str">
        <f>""</f>
        <v/>
      </c>
      <c r="AM34" s="4" t="str">
        <f>""</f>
        <v/>
      </c>
    </row>
    <row r="35" spans="1:60" hidden="1">
      <c r="B35" s="1" t="str">
        <f>IF(M35="","Hide","Show")</f>
        <v>Hide</v>
      </c>
      <c r="C35" s="4" t="s">
        <v>50</v>
      </c>
      <c r="E35" s="13" t="str">
        <f>""</f>
        <v/>
      </c>
      <c r="M35" s="4" t="str">
        <f>""</f>
        <v/>
      </c>
      <c r="N35" s="38" t="str">
        <f>""</f>
        <v/>
      </c>
      <c r="O35" s="4" t="str">
        <f>""</f>
        <v/>
      </c>
      <c r="P35" s="4"/>
      <c r="Q35" s="4" t="str">
        <f>""</f>
        <v/>
      </c>
      <c r="R35" s="4" t="str">
        <f>""</f>
        <v/>
      </c>
      <c r="T35" s="45" t="str">
        <f>""</f>
        <v/>
      </c>
      <c r="U35" s="45" t="str">
        <f>""</f>
        <v/>
      </c>
      <c r="V35" s="52"/>
      <c r="W35" s="51"/>
      <c r="X35" s="4" t="str">
        <f>""</f>
        <v/>
      </c>
      <c r="Y35" s="4" t="str">
        <f>""</f>
        <v/>
      </c>
      <c r="Z35" s="4" t="str">
        <f>""</f>
        <v/>
      </c>
      <c r="AA35" s="60" t="str">
        <f>""</f>
        <v/>
      </c>
      <c r="AB35" s="4" t="str">
        <f>""</f>
        <v/>
      </c>
      <c r="AC35" s="37">
        <f>IFERROR(AD35/AA35,0)</f>
        <v>0</v>
      </c>
      <c r="AD35" s="37" t="str">
        <f>""</f>
        <v/>
      </c>
      <c r="AE35" s="63"/>
      <c r="AF35" s="18"/>
      <c r="AG35" s="63"/>
      <c r="AH35" s="18"/>
      <c r="AI35" s="18"/>
      <c r="AJ35" s="63"/>
      <c r="AK35" s="18"/>
      <c r="AL35" s="5" t="str">
        <f>""</f>
        <v/>
      </c>
      <c r="AM35" s="4" t="str">
        <f>""</f>
        <v/>
      </c>
    </row>
    <row r="36" spans="1:60">
      <c r="M36" s="69"/>
      <c r="N36" s="70"/>
      <c r="O36" s="4"/>
      <c r="R36" s="69"/>
      <c r="T36" s="50"/>
      <c r="V36" s="50"/>
      <c r="W36" s="51"/>
      <c r="AC36" s="37"/>
      <c r="AD36" s="37"/>
      <c r="AF36" s="37"/>
      <c r="AH36" s="71"/>
      <c r="AJ36" s="63"/>
      <c r="AL36" s="5"/>
      <c r="AN36" s="21"/>
      <c r="AO36" s="21"/>
    </row>
    <row r="37" spans="1:60">
      <c r="AC37" s="4">
        <f>SUBTOTAL(9,AO24:AO36)</f>
        <v>0</v>
      </c>
      <c r="AD37" s="4">
        <f>SUBTOTAL(9,AP24:AP36)</f>
        <v>0</v>
      </c>
      <c r="AW37" s="16"/>
    </row>
    <row r="38" spans="1:60">
      <c r="AX38" s="16"/>
    </row>
    <row r="39" spans="1:60">
      <c r="AY39" s="16"/>
    </row>
    <row r="40" spans="1:60">
      <c r="AZ40" s="16"/>
    </row>
    <row r="41" spans="1:60">
      <c r="BA41" s="16"/>
    </row>
    <row r="42" spans="1:60">
      <c r="BB42" s="16"/>
    </row>
    <row r="43" spans="1:60">
      <c r="BC43" s="16"/>
    </row>
    <row r="44" spans="1:60">
      <c r="BD44" s="16"/>
    </row>
    <row r="45" spans="1:60">
      <c r="BE45" s="16"/>
    </row>
    <row r="46" spans="1:60">
      <c r="BF46" s="16"/>
    </row>
    <row r="47" spans="1:60">
      <c r="BG47" s="16"/>
    </row>
    <row r="48" spans="1:60">
      <c r="BH48" s="16"/>
    </row>
    <row r="49" spans="61:61">
      <c r="BI49" s="16"/>
    </row>
  </sheetData>
  <sortState xmlns:xlrd2="http://schemas.microsoft.com/office/spreadsheetml/2017/richdata2" ref="M24:AP399">
    <sortCondition ref="Q24:Q401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267</v>
      </c>
      <c r="AM25" s="68" t="s">
        <v>268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269</v>
      </c>
      <c r="AM26" s="68" t="s">
        <v>270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267</v>
      </c>
      <c r="AM25" s="68" t="s">
        <v>268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269</v>
      </c>
      <c r="AM26" s="68" t="s">
        <v>270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BAE8-19F7-4593-80B6-9F4CD9781D11}">
  <dimension ref="A1:E13"/>
  <sheetViews>
    <sheetView workbookViewId="0"/>
  </sheetViews>
  <sheetFormatPr defaultRowHeight="15"/>
  <sheetData>
    <row r="1" spans="1:5">
      <c r="A1" s="68" t="s">
        <v>138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2024-10-05T13:42:07Z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