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\2024\"/>
    </mc:Choice>
  </mc:AlternateContent>
  <xr:revisionPtr revIDLastSave="0" documentId="8_{AC631B5A-B4A3-4949-A1CC-3D2622414716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2" sheetId="143" r:id="rId3"/>
    <sheet name="Sheet1" sheetId="4" r:id="rId4"/>
    <sheet name="Sheet3" sheetId="158" state="veryHidden" r:id="rId5"/>
    <sheet name="Sheet4" sheetId="159" state="veryHidden" r:id="rId6"/>
    <sheet name="Sheet5" sheetId="160" state="veryHidden" r:id="rId7"/>
    <sheet name="Sheet6" sheetId="161" state="veryHidden" r:id="rId8"/>
    <sheet name="Sheet7" sheetId="164" state="veryHidden" r:id="rId9"/>
    <sheet name="Sheet8" sheetId="165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Q24" i="2"/>
  <c r="R24" i="2"/>
  <c r="S24" i="2"/>
  <c r="U24" i="2"/>
  <c r="W24" i="2"/>
  <c r="X24" i="2"/>
  <c r="Y24" i="2"/>
  <c r="Z24" i="2"/>
  <c r="AB24" i="2"/>
  <c r="AC24" i="2"/>
  <c r="AE24" i="2"/>
  <c r="AH24" i="2"/>
  <c r="AK24" i="2"/>
  <c r="AL24" i="2"/>
  <c r="E25" i="2"/>
  <c r="K25" i="2"/>
  <c r="L25" i="2"/>
  <c r="O25" i="2"/>
  <c r="P25" i="2"/>
  <c r="Q25" i="2"/>
  <c r="R25" i="2"/>
  <c r="S25" i="2"/>
  <c r="U25" i="2"/>
  <c r="W25" i="2"/>
  <c r="X25" i="2"/>
  <c r="Y25" i="2"/>
  <c r="Z25" i="2"/>
  <c r="AB25" i="2"/>
  <c r="AC25" i="2"/>
  <c r="AE25" i="2"/>
  <c r="AH25" i="2"/>
  <c r="AK25" i="2"/>
  <c r="AL25" i="2"/>
  <c r="E26" i="2"/>
  <c r="K26" i="2"/>
  <c r="L26" i="2"/>
  <c r="O26" i="2"/>
  <c r="P26" i="2"/>
  <c r="Q26" i="2"/>
  <c r="R26" i="2"/>
  <c r="S26" i="2"/>
  <c r="U26" i="2"/>
  <c r="W26" i="2"/>
  <c r="X26" i="2"/>
  <c r="Y26" i="2"/>
  <c r="Z26" i="2"/>
  <c r="AB26" i="2"/>
  <c r="AC26" i="2"/>
  <c r="AE26" i="2"/>
  <c r="AH26" i="2"/>
  <c r="AK26" i="2"/>
  <c r="AL26" i="2"/>
  <c r="E27" i="2"/>
  <c r="K27" i="2"/>
  <c r="L27" i="2"/>
  <c r="O27" i="2"/>
  <c r="P27" i="2"/>
  <c r="Q27" i="2"/>
  <c r="R27" i="2"/>
  <c r="S27" i="2"/>
  <c r="U27" i="2"/>
  <c r="W27" i="2"/>
  <c r="X27" i="2"/>
  <c r="Y27" i="2"/>
  <c r="Z27" i="2"/>
  <c r="AB27" i="2"/>
  <c r="AC27" i="2"/>
  <c r="AE27" i="2"/>
  <c r="AH27" i="2"/>
  <c r="AK27" i="2"/>
  <c r="AL27" i="2"/>
  <c r="E28" i="2"/>
  <c r="K28" i="2"/>
  <c r="L28" i="2"/>
  <c r="O28" i="2"/>
  <c r="P28" i="2"/>
  <c r="Q28" i="2"/>
  <c r="R28" i="2"/>
  <c r="S28" i="2"/>
  <c r="U28" i="2"/>
  <c r="W28" i="2"/>
  <c r="X28" i="2"/>
  <c r="Y28" i="2"/>
  <c r="Z28" i="2"/>
  <c r="AB28" i="2"/>
  <c r="AC28" i="2"/>
  <c r="AE28" i="2"/>
  <c r="AH28" i="2"/>
  <c r="AK28" i="2"/>
  <c r="AL28" i="2"/>
  <c r="E29" i="2"/>
  <c r="K29" i="2"/>
  <c r="L29" i="2"/>
  <c r="O29" i="2"/>
  <c r="P29" i="2"/>
  <c r="Q29" i="2"/>
  <c r="R29" i="2"/>
  <c r="S29" i="2"/>
  <c r="U29" i="2"/>
  <c r="W29" i="2"/>
  <c r="X29" i="2"/>
  <c r="Y29" i="2"/>
  <c r="Z29" i="2"/>
  <c r="AB29" i="2"/>
  <c r="AC29" i="2"/>
  <c r="AE29" i="2"/>
  <c r="AH29" i="2"/>
  <c r="AK29" i="2"/>
  <c r="AL29" i="2"/>
  <c r="E30" i="2"/>
  <c r="K30" i="2"/>
  <c r="L30" i="2"/>
  <c r="O30" i="2"/>
  <c r="P30" i="2"/>
  <c r="Q30" i="2"/>
  <c r="R30" i="2"/>
  <c r="S30" i="2"/>
  <c r="U30" i="2"/>
  <c r="W30" i="2"/>
  <c r="X30" i="2"/>
  <c r="Y30" i="2"/>
  <c r="Z30" i="2"/>
  <c r="AB30" i="2"/>
  <c r="AC30" i="2"/>
  <c r="AE30" i="2"/>
  <c r="AH30" i="2"/>
  <c r="AK30" i="2"/>
  <c r="AL30" i="2"/>
  <c r="E31" i="2"/>
  <c r="K31" i="2"/>
  <c r="L31" i="2"/>
  <c r="O31" i="2"/>
  <c r="P31" i="2"/>
  <c r="Q31" i="2"/>
  <c r="R31" i="2"/>
  <c r="S31" i="2"/>
  <c r="U31" i="2"/>
  <c r="W31" i="2"/>
  <c r="X31" i="2"/>
  <c r="Y31" i="2"/>
  <c r="Z31" i="2"/>
  <c r="AB31" i="2"/>
  <c r="AC31" i="2"/>
  <c r="AE31" i="2"/>
  <c r="AH31" i="2"/>
  <c r="AK31" i="2"/>
  <c r="AL31" i="2"/>
  <c r="E32" i="2"/>
  <c r="K32" i="2"/>
  <c r="L32" i="2"/>
  <c r="O32" i="2"/>
  <c r="P32" i="2"/>
  <c r="Q32" i="2"/>
  <c r="R32" i="2"/>
  <c r="S32" i="2"/>
  <c r="U32" i="2"/>
  <c r="W32" i="2"/>
  <c r="X32" i="2"/>
  <c r="Y32" i="2"/>
  <c r="Z32" i="2"/>
  <c r="AB32" i="2"/>
  <c r="AC32" i="2"/>
  <c r="AE32" i="2"/>
  <c r="AH32" i="2"/>
  <c r="AK32" i="2"/>
  <c r="AL32" i="2"/>
  <c r="E33" i="2"/>
  <c r="K33" i="2"/>
  <c r="L33" i="2"/>
  <c r="O33" i="2"/>
  <c r="P33" i="2"/>
  <c r="Q33" i="2"/>
  <c r="R33" i="2"/>
  <c r="S33" i="2"/>
  <c r="U33" i="2"/>
  <c r="W33" i="2"/>
  <c r="X33" i="2"/>
  <c r="Y33" i="2"/>
  <c r="Z33" i="2"/>
  <c r="AB33" i="2"/>
  <c r="AC33" i="2"/>
  <c r="AE33" i="2"/>
  <c r="AH33" i="2"/>
  <c r="AK33" i="2"/>
  <c r="AL33" i="2"/>
  <c r="E34" i="2"/>
  <c r="K34" i="2"/>
  <c r="L34" i="2"/>
  <c r="O34" i="2"/>
  <c r="P34" i="2"/>
  <c r="Q34" i="2"/>
  <c r="R34" i="2"/>
  <c r="S34" i="2"/>
  <c r="U34" i="2"/>
  <c r="W34" i="2"/>
  <c r="X34" i="2"/>
  <c r="Y34" i="2"/>
  <c r="Z34" i="2"/>
  <c r="AB34" i="2"/>
  <c r="AC34" i="2"/>
  <c r="AE34" i="2"/>
  <c r="AH34" i="2"/>
  <c r="AK34" i="2"/>
  <c r="AL34" i="2"/>
  <c r="E35" i="2"/>
  <c r="K35" i="2"/>
  <c r="L35" i="2"/>
  <c r="O35" i="2"/>
  <c r="P35" i="2"/>
  <c r="Q35" i="2"/>
  <c r="R35" i="2"/>
  <c r="S35" i="2"/>
  <c r="U35" i="2"/>
  <c r="W35" i="2"/>
  <c r="X35" i="2"/>
  <c r="Y35" i="2"/>
  <c r="Z35" i="2"/>
  <c r="AB35" i="2"/>
  <c r="AC35" i="2"/>
  <c r="AE35" i="2"/>
  <c r="AH35" i="2"/>
  <c r="AK35" i="2"/>
  <c r="AL35" i="2"/>
  <c r="E36" i="2"/>
  <c r="K36" i="2"/>
  <c r="L36" i="2"/>
  <c r="O36" i="2"/>
  <c r="P36" i="2"/>
  <c r="Q36" i="2"/>
  <c r="R36" i="2"/>
  <c r="S36" i="2"/>
  <c r="U36" i="2"/>
  <c r="W36" i="2"/>
  <c r="X36" i="2"/>
  <c r="Y36" i="2"/>
  <c r="Z36" i="2"/>
  <c r="AB36" i="2"/>
  <c r="AC36" i="2"/>
  <c r="AE36" i="2"/>
  <c r="AH36" i="2"/>
  <c r="AK36" i="2"/>
  <c r="AL36" i="2"/>
  <c r="E37" i="2"/>
  <c r="K37" i="2"/>
  <c r="L37" i="2"/>
  <c r="O37" i="2"/>
  <c r="P37" i="2"/>
  <c r="Q37" i="2"/>
  <c r="R37" i="2"/>
  <c r="S37" i="2"/>
  <c r="U37" i="2"/>
  <c r="W37" i="2"/>
  <c r="X37" i="2"/>
  <c r="Y37" i="2"/>
  <c r="Z37" i="2"/>
  <c r="AB37" i="2"/>
  <c r="AC37" i="2"/>
  <c r="AE37" i="2"/>
  <c r="AH37" i="2"/>
  <c r="AK37" i="2"/>
  <c r="AL37" i="2"/>
  <c r="E38" i="2"/>
  <c r="K38" i="2"/>
  <c r="L38" i="2"/>
  <c r="O38" i="2"/>
  <c r="P38" i="2"/>
  <c r="Q38" i="2"/>
  <c r="R38" i="2"/>
  <c r="S38" i="2"/>
  <c r="U38" i="2"/>
  <c r="W38" i="2"/>
  <c r="X38" i="2"/>
  <c r="Y38" i="2"/>
  <c r="Z38" i="2"/>
  <c r="AB38" i="2"/>
  <c r="AC38" i="2"/>
  <c r="AE38" i="2"/>
  <c r="AH38" i="2"/>
  <c r="AK38" i="2"/>
  <c r="AL38" i="2"/>
  <c r="E39" i="2"/>
  <c r="K39" i="2"/>
  <c r="L39" i="2"/>
  <c r="O39" i="2"/>
  <c r="P39" i="2"/>
  <c r="Q39" i="2"/>
  <c r="R39" i="2"/>
  <c r="S39" i="2"/>
  <c r="U39" i="2"/>
  <c r="W39" i="2"/>
  <c r="X39" i="2"/>
  <c r="Y39" i="2"/>
  <c r="Z39" i="2"/>
  <c r="AB39" i="2"/>
  <c r="AC39" i="2"/>
  <c r="AE39" i="2"/>
  <c r="AH39" i="2"/>
  <c r="AK39" i="2"/>
  <c r="AL39" i="2"/>
  <c r="E40" i="2"/>
  <c r="K40" i="2"/>
  <c r="L40" i="2"/>
  <c r="O40" i="2"/>
  <c r="P40" i="2"/>
  <c r="Q40" i="2"/>
  <c r="R40" i="2"/>
  <c r="S40" i="2"/>
  <c r="U40" i="2"/>
  <c r="W40" i="2"/>
  <c r="X40" i="2"/>
  <c r="Y40" i="2"/>
  <c r="Z40" i="2"/>
  <c r="AB40" i="2"/>
  <c r="AC40" i="2"/>
  <c r="AE40" i="2"/>
  <c r="AH40" i="2"/>
  <c r="AK40" i="2"/>
  <c r="AL40" i="2"/>
  <c r="E41" i="2"/>
  <c r="K41" i="2"/>
  <c r="L41" i="2"/>
  <c r="O41" i="2"/>
  <c r="P41" i="2"/>
  <c r="Q41" i="2"/>
  <c r="R41" i="2"/>
  <c r="S41" i="2"/>
  <c r="U41" i="2"/>
  <c r="W41" i="2"/>
  <c r="X41" i="2"/>
  <c r="Y41" i="2"/>
  <c r="Z41" i="2"/>
  <c r="AB41" i="2"/>
  <c r="AC41" i="2"/>
  <c r="AE41" i="2"/>
  <c r="AH41" i="2"/>
  <c r="AK41" i="2"/>
  <c r="AL41" i="2"/>
  <c r="AP41" i="2"/>
  <c r="E42" i="2"/>
  <c r="K42" i="2"/>
  <c r="L42" i="2"/>
  <c r="O42" i="2"/>
  <c r="P42" i="2"/>
  <c r="Q42" i="2"/>
  <c r="R42" i="2"/>
  <c r="S42" i="2"/>
  <c r="U42" i="2"/>
  <c r="W42" i="2"/>
  <c r="X42" i="2"/>
  <c r="Y42" i="2"/>
  <c r="Z42" i="2"/>
  <c r="AB42" i="2"/>
  <c r="AC42" i="2"/>
  <c r="AE42" i="2"/>
  <c r="AH42" i="2"/>
  <c r="AK42" i="2"/>
  <c r="AL42" i="2"/>
  <c r="AP42" i="2"/>
  <c r="E43" i="2"/>
  <c r="K43" i="2"/>
  <c r="L43" i="2"/>
  <c r="O43" i="2"/>
  <c r="P43" i="2"/>
  <c r="Q43" i="2"/>
  <c r="R43" i="2"/>
  <c r="S43" i="2"/>
  <c r="U43" i="2"/>
  <c r="W43" i="2"/>
  <c r="X43" i="2"/>
  <c r="Y43" i="2"/>
  <c r="Z43" i="2"/>
  <c r="AB43" i="2"/>
  <c r="AC43" i="2"/>
  <c r="AE43" i="2"/>
  <c r="AH43" i="2"/>
  <c r="AK43" i="2"/>
  <c r="AL43" i="2"/>
  <c r="AP43" i="2"/>
  <c r="E44" i="2"/>
  <c r="K44" i="2"/>
  <c r="L44" i="2"/>
  <c r="O44" i="2"/>
  <c r="P44" i="2"/>
  <c r="Q44" i="2"/>
  <c r="R44" i="2"/>
  <c r="S44" i="2"/>
  <c r="U44" i="2"/>
  <c r="W44" i="2"/>
  <c r="X44" i="2"/>
  <c r="Y44" i="2"/>
  <c r="Z44" i="2"/>
  <c r="AB44" i="2"/>
  <c r="AC44" i="2"/>
  <c r="AE44" i="2"/>
  <c r="AH44" i="2"/>
  <c r="AK44" i="2"/>
  <c r="AL44" i="2"/>
  <c r="E45" i="2"/>
  <c r="M45" i="2"/>
  <c r="N45" i="2"/>
  <c r="O45" i="2"/>
  <c r="Q45" i="2"/>
  <c r="R45" i="2"/>
  <c r="T45" i="2"/>
  <c r="U45" i="2"/>
  <c r="X45" i="2"/>
  <c r="Y45" i="2"/>
  <c r="Z45" i="2"/>
  <c r="AA45" i="2"/>
  <c r="AB45" i="2"/>
  <c r="AD45" i="2"/>
  <c r="AC45" i="2" s="1"/>
  <c r="AH45" i="2"/>
  <c r="AL45" i="2"/>
  <c r="AM45" i="2"/>
  <c r="E46" i="2"/>
  <c r="M46" i="2"/>
  <c r="N46" i="2"/>
  <c r="O46" i="2"/>
  <c r="Q46" i="2"/>
  <c r="R46" i="2"/>
  <c r="T46" i="2"/>
  <c r="U46" i="2"/>
  <c r="X46" i="2"/>
  <c r="Y46" i="2"/>
  <c r="Z46" i="2"/>
  <c r="AA46" i="2"/>
  <c r="AB46" i="2"/>
  <c r="AC46" i="2"/>
  <c r="AD46" i="2"/>
  <c r="AL46" i="2"/>
  <c r="AM46" i="2"/>
  <c r="D5" i="1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E12" i="2"/>
  <c r="H6" i="2"/>
  <c r="H5" i="2"/>
  <c r="H4" i="2"/>
  <c r="E2" i="2"/>
  <c r="D13" i="1"/>
  <c r="C13" i="1" s="1"/>
  <c r="E16" i="2" s="1"/>
  <c r="C12" i="1"/>
  <c r="E15" i="2" s="1"/>
  <c r="C11" i="1"/>
  <c r="E14" i="2" s="1"/>
  <c r="C10" i="1"/>
  <c r="E13" i="2" s="1"/>
  <c r="C8" i="1"/>
  <c r="C5" i="1"/>
  <c r="C4" i="1"/>
  <c r="C3" i="1"/>
  <c r="C9" i="1" s="1"/>
  <c r="E11" i="2" s="1"/>
  <c r="D4" i="2" l="1"/>
  <c r="E4" i="2" s="1"/>
  <c r="D6" i="2"/>
  <c r="D5" i="2"/>
  <c r="I6" i="2"/>
  <c r="I5" i="2"/>
  <c r="E5" i="2" l="1"/>
  <c r="B24" i="2"/>
  <c r="E6" i="2"/>
  <c r="B46" i="2" l="1"/>
  <c r="B45" i="2"/>
</calcChain>
</file>

<file path=xl/sharedStrings.xml><?xml version="1.0" encoding="utf-8"?>
<sst xmlns="http://schemas.openxmlformats.org/spreadsheetml/2006/main" count="1711" uniqueCount="778">
  <si>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</si>
  <si>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</si>
  <si>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</si>
  <si>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</si>
  <si>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</si>
  <si>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</si>
  <si>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</si>
  <si>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</si>
  <si>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</si>
  <si>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</si>
  <si>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</si>
  <si>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</si>
  <si>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</si>
  <si>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</si>
  <si>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</si>
  <si>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</si>
  <si>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</si>
  <si>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</si>
  <si>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</si>
  <si>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</si>
  <si>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</si>
  <si>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</si>
  <si>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</si>
  <si>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</si>
  <si>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</si>
  <si>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</si>
  <si>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</si>
  <si>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</si>
  <si>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</si>
  <si>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</si>
  <si>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</si>
  <si>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</si>
  <si>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</si>
  <si>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</si>
  <si>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</si>
  <si>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</si>
  <si>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</si>
  <si>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</si>
  <si>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</si>
  <si>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</si>
  <si>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</si>
  <si>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</si>
  <si>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</si>
  <si>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</si>
  <si>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</si>
  <si>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</si>
  <si>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</si>
  <si>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</si>
  <si>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</si>
  <si>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</si>
  <si>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</si>
  <si>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</si>
  <si>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</si>
  <si>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</si>
  <si>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</si>
  <si>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</si>
  <si>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</si>
  <si>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</si>
  <si>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</si>
  <si>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</si>
  <si>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</si>
  <si>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</si>
  <si>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</si>
  <si>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</si>
  <si>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</si>
  <si>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</si>
  <si>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</si>
  <si>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</si>
  <si>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</si>
  <si>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</si>
  <si>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</si>
  <si>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</si>
  <si>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</si>
  <si>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</si>
  <si>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</si>
  <si>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</si>
  <si>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MOH &amp; IHIS Cluster</t>
  </si>
  <si>
    <t>Month</t>
  </si>
  <si>
    <t xml:space="preserve">Year </t>
  </si>
  <si>
    <t>PCN No</t>
  </si>
  <si>
    <t>PO Dt</t>
  </si>
  <si>
    <t>Date of Licenses</t>
  </si>
  <si>
    <t>Elapsed days for delivery</t>
  </si>
  <si>
    <t>Bulk Purchase Dis %</t>
  </si>
  <si>
    <t>PO Value</t>
  </si>
  <si>
    <t>Reseller</t>
  </si>
  <si>
    <t>Delivery Location</t>
  </si>
  <si>
    <t>Category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</si>
  <si>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</si>
  <si>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</si>
  <si>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</si>
  <si>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</si>
  <si>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</si>
  <si>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</si>
  <si>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Software Brand</t>
  </si>
  <si>
    <t>UIC</t>
  </si>
  <si>
    <t>Microsoft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</si>
  <si>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</si>
  <si>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</si>
  <si>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</si>
  <si>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</si>
  <si>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="'S7138270'"</t>
  </si>
  <si>
    <t>="'MS'"</t>
  </si>
  <si>
    <t>=$D$13</t>
  </si>
  <si>
    <t>Auto+Hide+HideSheet+Formulas=Sheet3,Sheet4+FormulasOnly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</si>
  <si>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</si>
  <si>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</si>
  <si>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</si>
  <si>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</si>
  <si>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</si>
  <si>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</si>
  <si>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</si>
  <si>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</si>
  <si>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</si>
  <si>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</si>
  <si>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</si>
  <si>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</si>
  <si>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</si>
  <si>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</si>
  <si>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</si>
  <si>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</si>
  <si>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=IF(M24="","Hide","Show")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</si>
  <si>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</si>
  <si>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</si>
  <si>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</si>
  <si>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=SUM(N24-T24)</t>
  </si>
  <si>
    <t>=IFERROR(AD24/AA24,0)</t>
  </si>
  <si>
    <t>=IF(M25="","Hide","Show")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</si>
  <si>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</si>
  <si>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=IFERROR(AD25/AA25,0)</t>
  </si>
  <si>
    <t>=IF(M26="","Hide","Show")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</si>
  <si>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</si>
  <si>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=IFERROR(AD26/AA26,0)</t>
  </si>
  <si>
    <t>=SUBTOTAL(9,AO24:AO27)</t>
  </si>
  <si>
    <t>=SUBTOTAL(9,AP24:AP27)</t>
  </si>
  <si>
    <t>Auto+Hide+Values+Formulas=Sheet5,Sheet6+FormulasOnly</t>
  </si>
  <si>
    <t>Auto</t>
  </si>
  <si>
    <t>Auto+Hide+HideSheet+Formulas=Sheet7,Sheet3,Sheet4</t>
  </si>
  <si>
    <t>Auto+Hide+HideSheet+Formulas=Sheet7,Sheet3,Sheet4+FormulasOnly</t>
  </si>
  <si>
    <t>Auto+Hide+Values+Formulas=Sheet8,Sheet5,Sheet6</t>
  </si>
  <si>
    <t>=MONTH(N25)</t>
  </si>
  <si>
    <t>=YEAR(N25)</t>
  </si>
  <si>
    <t>=SUM(N25-T25)</t>
  </si>
  <si>
    <t>=MONTH(N26)</t>
  </si>
  <si>
    <t>=YEAR(N26)</t>
  </si>
  <si>
    <t>=SUM(N26-T26)</t>
  </si>
  <si>
    <t>=IF(M27="","Hide","Show")</t>
  </si>
  <si>
    <t>=IFERROR(AD27/AA27,0)</t>
  </si>
  <si>
    <t>=IF(M28="","Hide","Show")</t>
  </si>
  <si>
    <t>=IFERROR(AD28/AA28,0)</t>
  </si>
  <si>
    <t>Auto+Hide+Values+Formulas=Sheet8,Sheet5,Sheet6+FormulasOnly</t>
  </si>
  <si>
    <t>="'CM0159-SGD','CZ0023-SGD','CA0216-SGD','CA0061-SGD','CM0315-SGD','CS0312-SGD','CI0099-SGD'"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</si>
  <si>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</si>
  <si>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</si>
  <si>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</si>
  <si>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</si>
  <si>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</si>
  <si>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</si>
  <si>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=IFERROR(NF($E24,"U_PODate"),"-")</t>
  </si>
  <si>
    <t>=IFERROR(NF($E24,"U_CustRef"),"-")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</si>
  <si>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</si>
  <si>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</si>
  <si>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</si>
  <si>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</si>
  <si>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</si>
  <si>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</si>
  <si>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</si>
  <si>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</si>
  <si>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</si>
  <si>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</si>
  <si>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</si>
  <si>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</si>
  <si>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</si>
  <si>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</si>
  <si>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</si>
  <si>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</si>
  <si>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=IFERROR(NF($E25,"U_MSPCN"),"-")</t>
  </si>
  <si>
    <t>=IFERROR(NF($E25,"CARDCODE"),"-")</t>
  </si>
  <si>
    <t>=IFERROR(NF($E25,"CARDNAME"),"-")</t>
  </si>
  <si>
    <t>=IFERROR(NF($E25,"U_CUSTREF"),"-")</t>
  </si>
  <si>
    <t>=IFERROR(NF($E25,"U_PODate"),"-")</t>
  </si>
  <si>
    <t>=IFERROR(NF($E25,"U_CustRef"),"-")</t>
  </si>
  <si>
    <t>=IFERROR(NF($E25,"DocDate"),"-")</t>
  </si>
  <si>
    <t>=IFERROR(NF($E25,"ITEMCODE"),"-")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</si>
  <si>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</si>
  <si>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</si>
  <si>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</si>
  <si>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</si>
  <si>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</si>
  <si>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=IFERROR(NF($E25,"U_BPurDisc"),"-")</t>
  </si>
  <si>
    <t>=IFERROR(NF($E25,"ADDRESS2"),"-")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</si>
  <si>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</si>
  <si>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</si>
  <si>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</si>
  <si>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</si>
  <si>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=IFERROR(NF($E26,"DOCNUM"),"-")</t>
  </si>
  <si>
    <t>=IFERROR(NF($E26,"DOCDATE"),"-")</t>
  </si>
  <si>
    <t>=IFERROR(NF($E26,"U_MSENR"),"-")</t>
  </si>
  <si>
    <t>=IFERROR(NF($E26,"U_MSPCN"),"-")</t>
  </si>
  <si>
    <t>=IFERROR(NF($E26,"CARDCODE"),"-")</t>
  </si>
  <si>
    <t>=IFERROR(NF($E26,"CARDNAME"),"-")</t>
  </si>
  <si>
    <t>=IFERROR(NF($E26,"U_CUSTREF"),"-")</t>
  </si>
  <si>
    <t>=IFERROR(NF($E26,"U_PODate"),"-")</t>
  </si>
  <si>
    <t>=IFERROR(NF($E26,"U_CustRef"),"-")</t>
  </si>
  <si>
    <t>=IFERROR(NF($E26,"DocDate"),"-")</t>
  </si>
  <si>
    <t>=IFERROR(NF($E26,"ITEMCODE"),"-")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</si>
  <si>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</si>
  <si>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</si>
  <si>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</si>
  <si>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</si>
  <si>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</si>
  <si>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</si>
  <si>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</si>
  <si>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</si>
  <si>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</si>
  <si>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</si>
  <si>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</si>
  <si>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</si>
  <si>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</si>
  <si>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</si>
  <si>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</si>
  <si>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</si>
  <si>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</si>
  <si>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</si>
  <si>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</si>
  <si>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=IFERROR(NF($E27,"U_PODate"),"-")</t>
  </si>
  <si>
    <t>=IFERROR(NF($E27,"U_CustRef"),"-")</t>
  </si>
  <si>
    <t>=IFERROR(NF($E27,"DocDate"),"-")</t>
  </si>
  <si>
    <t>=SUM(N27-T27)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</si>
  <si>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</si>
  <si>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</si>
  <si>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</si>
  <si>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</si>
  <si>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</si>
  <si>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</si>
  <si>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</si>
  <si>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</si>
  <si>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</si>
  <si>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</si>
  <si>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</si>
  <si>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</si>
  <si>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</si>
  <si>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</si>
  <si>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</si>
  <si>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</si>
  <si>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</si>
  <si>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</si>
  <si>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</si>
  <si>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</si>
  <si>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</si>
  <si>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</si>
  <si>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</si>
  <si>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=IFERROR(NF($E28,"ADDRESS2"),"-")</t>
  </si>
  <si>
    <t>=IF(M29="","Hide","Show")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</si>
  <si>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</si>
  <si>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</si>
  <si>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</si>
  <si>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</si>
  <si>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</si>
  <si>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</si>
  <si>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</si>
  <si>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</si>
  <si>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</si>
  <si>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</si>
  <si>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=IFERROR(AD29/AA29,0)</t>
  </si>
  <si>
    <t>=IFERROR(NF($E29,"LINETOTAL"),"-")</t>
  </si>
  <si>
    <t>=IFERROR(NF($E24,"U_PONo"),"-")</t>
  </si>
  <si>
    <t>=IFERROR(NF($E25,"U_PODATE"),"-")</t>
  </si>
  <si>
    <t>=IFERROR(NF($E25,"U_PONO"),"-")</t>
  </si>
  <si>
    <t>=IFERROR(NF($E26,"U_PODATE"),"-")</t>
  </si>
  <si>
    <t>=IFERROR(NF($E26,"U_PONO"),"-")</t>
  </si>
  <si>
    <t>=IFERROR(NF($E25,"U_PONo"),"-")</t>
  </si>
  <si>
    <t>=IFERROR(NF($E26,"U_PONo"),"-")</t>
  </si>
  <si>
    <t>=IFERROR(NF($E27,"U_PONo"),"-")</t>
  </si>
  <si>
    <t>="01/07/2024"</t>
  </si>
  <si>
    <t>="31/07/2024"</t>
  </si>
  <si>
    <t>="""UICACS"","""",""SQL="",""2=DOCNUM"",""33035791"",""14=CUSTREF"",""8000008032"",""14=U_CUSTREF"",""8000008032"",""15=DOCDATE"",""2/7/2024"",""15=TAXDATE"",""2/7/2024"",""14=CARDCODE"",""CI0099-SGD"",""14=CARDNAME"",""SYNAPXE PTE. LTD."",""14=ITEMCODE"",""MSL5D-00162GLP"",""14=ITEMNAME"",""MS VI"&amp;"SUAL STUDIO TEST PRO MSDN ALNG SA"",""10=QUANTITY"",""1.000000"",""14=U_PONO"",""941790"",""15=U_PODATE"",""17/2/2023"",""10=U_TLINTCOS"",""0.000000"",""2=SLPCODE"",""132"",""14=SLPNAME"",""E0001-CS"",""14=MEMO"",""WENDY KUM CHIOU SZE"",""14=CONTACTNAME"",""E-INVOICE(AP DIRECT)"",""10=LIN"&amp;"ETOTAL"",""424.840000"",""14=U_ENR"","""",""14=U_MSENR"",""S7138270"",""14=U_MSPCN"",""AD5A91AA"",""14=ADDRESS2"",""SAL MOHAN KUMAR PATRO_x000D_INTEGRATED HEALTH INFORMATION SYSTEMS PTE. LTD. 6 SERANGOON NORTH AVE 5, #01-01/02 SINGAPORE 554910_x000D_SAL MOHAN KUMAR PATRO_x000D_TEL: 93846950"&amp;"_x000D_FAX: _x000D_EMAIL: sal.mohan.kumar.patro@ihis.com.sg"""</t>
  </si>
  <si>
    <t>="""UICACS"","""",""SQL="",""2=DOCNUM"",""33035794"",""14=CUSTREF"",""8000007432"",""14=U_CUSTREF"",""8000007432"",""15=DOCDATE"",""2/7/2024"",""15=TAXDATE"",""2/7/2024"",""14=CARDCODE"",""CI0099-SGD"",""14=CARDNAME"",""SYNAPXE PTE. LTD."",""14=ITEMCODE"",""MSL5D-00161GLP"",""14=ITEMNAME"",""MS VS"&amp;"TSTPROWMSDN ALNG LICSAPK MVL"",""10=QUANTITY"",""19.000000"",""14=U_PONO"",""937223"",""15=U_PODATE"",""27/6/2022"",""10=U_TLINTCOS"",""0.000000"",""2=SLPCODE"",""132"",""14=SLPNAME"",""E0001-CS"",""14=MEMO"",""WENDY KUM CHIOU SZE"",""14=CONTACTNAME"",""ACCOUNTS PAYABLE-FINANCE DEPT"",""1"&amp;"0=LINETOTAL"",""17510.020000"",""14=U_ENR"","""",""14=U_MSENR"",""S7138270"",""14=U_MSPCN"",""AD5A91AA"",""14=ADDRESS2"",""SAL MOHAN KUMAR PATRO(SYNAPXE)_x000D_SYNAPXE PTE. LTD. 6 SERANGOON NORTH AVE 5, #01-01/02 SINGAPORE 554910_x000D_SAL MOHAN KUMAR PATRO_x000D_TEL: 93846950_x000D_FAX: _x000D_EMAIL: "&amp;"sal.mohan.kumar.patro@synapxe.sg"""</t>
  </si>
  <si>
    <t>="""UICACS"","""",""SQL="",""2=DOCNUM"",""33035794"",""14=CUSTREF"",""8000007432"",""14=U_CUSTREF"",""8000007432"",""15=DOCDATE"",""2/7/2024"",""15=TAXDATE"",""2/7/2024"",""14=CARDCODE"",""CI0099-SGD"",""14=CARDNAME"",""SYNAPXE PTE. LTD."",""14=ITEMCODE"",""MSL5D-00161GLP"",""14=ITEMNAME"",""MS VS"&amp;"TSTPROWMSDN ALNG LICSAPK MVL"",""10=QUANTITY"",""1.000000"",""14=U_PONO"",""937223"",""15=U_PODATE"",""27/6/2022"",""10=U_TLINTCOS"",""0.000000"",""2=SLPCODE"",""132"",""14=SLPNAME"",""E0001-CS"",""14=MEMO"",""WENDY KUM CHIOU SZE"",""14=CONTACTNAME"",""ACCOUNTS PAYABLE-FINANCE DEPT"",""10"&amp;"=LINETOTAL"",""921.640000"",""14=U_ENR"","""",""14=U_MSENR"",""S7138270"",""14=U_MSPCN"",""AD5A91AA"",""14=ADDRESS2"",""SAL MOHAN KUMAR PATRO(SYNAPXE)_x000D_SYNAPXE PTE. LTD. 6 SERANGOON NORTH AVE 5, #01-01/02 SINGAPORE 554910_x000D_SAL MOHAN KUMAR PATRO_x000D_TEL: 93846950_x000D_FAX: _x000D_EMAIL: sal"&amp;".mohan.kumar.patro@synapxe.sg"""</t>
  </si>
  <si>
    <t>="""UICACS"","""",""SQL="",""2=DOCNUM"",""33035795"",""14=CUSTREF"",""8000008033"",""14=U_CUSTREF"",""8000008033"",""15=DOCDATE"",""2/7/2024"",""15=TAXDATE"",""2/7/2024"",""14=CARDCODE"",""CI0099-SGD"",""14=CARDNAME"",""SYNAPXE PTE. LTD."",""14=ITEMCODE"",""MS77D-00110GLP"",""14=ITEMNAME"",""MS VS"&amp;"PROwMSDN ALNG LICSAPk MVL"",""10=QUANTITY"",""1.000000"",""14=U_PONO"",""941790A"",""15=U_PODATE"",""17/2/2023"",""10=U_TLINTCOS"",""0.000000"",""2=SLPCODE"",""132"",""14=SLPNAME"",""E0001-CS"",""14=MEMO"",""WENDY KUM CHIOU SZE"",""14=CONTACTNAME"",""E-INVOICE(AP DIRECT)"",""10=LINETOTAL"""&amp;",""499.500000"",""14=U_ENR"","""",""14=U_MSENR"",""S7138270"",""14=U_MSPCN"",""AD5A91AA"",""14=ADDRESS2"",""NANDINI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nan"&amp;"dini.sivasubramaniam@synapxe.sg"""</t>
  </si>
  <si>
    <t>=MONTH(N28)</t>
  </si>
  <si>
    <t>=YEAR(N28)</t>
  </si>
  <si>
    <t>=IFERROR(NF($E28,"U_MSPCN"),"-")</t>
  </si>
  <si>
    <t>=IFERROR(NF($E28,"U_PONo"),"-")</t>
  </si>
  <si>
    <t>=IFERROR(NF($E28,"U_PODate"),"-")</t>
  </si>
  <si>
    <t>=IFERROR(NF($E28,"U_CustRef"),"-")</t>
  </si>
  <si>
    <t>=IFERROR(NF($E28,"DocDate"),"-")</t>
  </si>
  <si>
    <t>=SUM(N28-T28)</t>
  </si>
  <si>
    <t>=IFERROR(NF($E28,"U_BPurDisc"),"-")</t>
  </si>
  <si>
    <t>=IFERROR(NF($E28,"U_SWSub"),"-")</t>
  </si>
  <si>
    <t>=IFERROR(NF($E28,"U_LicComDt"),"-")</t>
  </si>
  <si>
    <t>=IFERROR(NF($E28,"U_LicEndDt"),"-")</t>
  </si>
  <si>
    <t>=IFERROR(NF($E28,"Comments"),"-")</t>
  </si>
  <si>
    <t>="""UICACS"","""",""SQL="",""2=DOCNUM"",""33035795"",""14=CUSTREF"",""8000008033"",""14=U_CUSTREF"",""8000008033"",""15=DOCDATE"",""2/7/2024"",""15=TAXDATE"",""2/7/2024"",""14=CARDCODE"",""CI0099-SGD"",""14=CARDNAME"",""SYNAPXE PTE. LTD."",""14=ITEMCODE"",""MS77D-00110GLP"",""14=ITEMNAME"",""MS VS"&amp;"PROwMSDN ALNG LICSAPk MVL"",""10=QUANTITY"",""9.000000"",""14=U_PONO"",""941790A"",""15=U_PODATE"",""17/2/2023"",""10=U_TLINTCOS"",""0.000000"",""2=SLPCODE"",""132"",""14=SLPNAME"",""E0001-CS"",""14=MEMO"",""WENDY KUM CHIOU SZE"",""14=CONTACTNAME"",""E-INVOICE(AP DIRECT)"",""10=LINETOTAL"""&amp;",""4495.410000"",""14=U_ENR"","""",""14=U_MSENR"",""S7138270"",""14=U_MSPCN"",""AD5A91AA"",""14=ADDRESS2"",""NANDINI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na"&amp;"ndini.sivasubramaniam@synapxe.sg"""</t>
  </si>
  <si>
    <t>=MONTH(N29)</t>
  </si>
  <si>
    <t>=YEAR(N29)</t>
  </si>
  <si>
    <t>=IFERROR(NF($E29,"U_MSPCN"),"-")</t>
  </si>
  <si>
    <t>=IFERROR(NF($E29,"U_PONo"),"-")</t>
  </si>
  <si>
    <t>=IFERROR(NF($E29,"U_PODate"),"-")</t>
  </si>
  <si>
    <t>=IFERROR(NF($E29,"U_CustRef"),"-")</t>
  </si>
  <si>
    <t>=IFERROR(NF($E29,"DocDate"),"-")</t>
  </si>
  <si>
    <t>=SUM(N29-T29)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</si>
  <si>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</si>
  <si>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</si>
  <si>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</si>
  <si>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</si>
  <si>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</si>
  <si>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</si>
  <si>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=IF(M30="","Hide","Show")</t>
  </si>
  <si>
    <t>="""UICACS"","""",""SQL="",""2=DOCNUM"",""33035795"",""14=CUSTREF"",""8000008033"",""14=U_CUSTREF"",""8000008033"",""15=DOCDATE"",""2/7/2024"",""15=TAXDATE"",""2/7/2024"",""14=CARDCODE"",""CI0099-SGD"",""14=CARDNAME"",""SYNAPXE PTE. LTD."",""14=ITEMCODE"",""MS77D-00111GLP"",""14=ITEMNAME"",""MS VS"&amp;"PROwMSDN ALNG SA MVL"",""10=QUANTITY"",""20.000000"",""14=U_PONO"",""941790A"",""15=U_PODATE"",""17/2/2023"",""10=U_TLINTCOS"",""0.000000"",""2=SLPCODE"",""132"",""14=SLPNAME"",""E0001-CS"",""14=MEMO"",""WENDY KUM CHIOU SZE"",""14=CONTACTNAME"",""E-INVOICE(AP DIRECT)"",""10=LINETOTAL"",""84"&amp;"57.600000"",""14=U_ENR"","""",""14=U_MSENR"",""S7138270"",""14=U_MSPCN"",""AD5A91AA"",""14=ADDRESS2"",""NANDINI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nandin"&amp;"i.sivasubramaniam@synapxe.sg"""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</si>
  <si>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</si>
  <si>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</si>
  <si>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</si>
  <si>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</si>
  <si>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</si>
  <si>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</si>
  <si>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</si>
  <si>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</si>
  <si>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=IFERROR(NF($E30,"U_PONo"),"-")</t>
  </si>
  <si>
    <t>=IFERROR(NF($E30,"U_PODate"),"-")</t>
  </si>
  <si>
    <t>=IFERROR(NF($E30,"U_CustRef"),"-")</t>
  </si>
  <si>
    <t>=IFERROR(NF($E30,"DocDate"),"-")</t>
  </si>
  <si>
    <t>=SUM(N30-T30)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</si>
  <si>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</si>
  <si>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</si>
  <si>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</si>
  <si>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</si>
  <si>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</si>
  <si>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=IFERROR(AD30/AA30,0)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</si>
  <si>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</si>
  <si>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</si>
  <si>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</si>
  <si>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</si>
  <si>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</si>
  <si>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</si>
  <si>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</si>
  <si>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=IF(M31="","Hide","Show")</t>
  </si>
  <si>
    <t>="""UICACS"","""",""SQL="",""2=DOCNUM"",""33035795"",""14=CUSTREF"",""8000008033"",""14=U_CUSTREF"",""8000008033"",""15=DOCDATE"",""2/7/2024"",""15=TAXDATE"",""2/7/2024"",""14=CARDCODE"",""CI0099-SGD"",""14=CARDNAME"",""SYNAPXE PTE. LTD."",""14=ITEMCODE"",""MS77D-00111GLP"",""14=ITEMNAME"",""MS VS"&amp;"PROwMSDN ALNG SA MVL"",""10=QUANTITY"",""1.000000"",""14=U_PONO"",""941790A"",""15=U_PODATE"",""17/2/2023"",""10=U_TLINTCOS"",""0.000000"",""2=SLPCODE"",""132"",""14=SLPNAME"",""E0001-CS"",""14=MEMO"",""WENDY KUM CHIOU SZE"",""14=CONTACTNAME"",""E-INVOICE(AP DIRECT)"",""10=LINETOTAL"",""422"&amp;".790000"",""14=U_ENR"","""",""14=U_MSENR"",""S7138270"",""14=U_MSPCN"",""AD5A91AA"",""14=ADDRESS2"",""NANDINI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nandini."&amp;"sivasubramaniam@synapxe.sg"""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</si>
  <si>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</si>
  <si>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</si>
  <si>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</si>
  <si>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</si>
  <si>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</si>
  <si>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</si>
  <si>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</si>
  <si>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</si>
  <si>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=IFERROR(NF($E31,"U_PONo"),"-")</t>
  </si>
  <si>
    <t>=IFERROR(NF($E31,"U_PODate"),"-")</t>
  </si>
  <si>
    <t>=IFERROR(NF($E31,"U_CustRef"),"-")</t>
  </si>
  <si>
    <t>=IFERROR(NF($E31,"DocDate"),"-")</t>
  </si>
  <si>
    <t>=SUM(N31-T31)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</si>
  <si>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</si>
  <si>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</si>
  <si>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</si>
  <si>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</si>
  <si>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</si>
  <si>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=IFERROR(AD31/AA31,0)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</si>
  <si>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</si>
  <si>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</si>
  <si>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</si>
  <si>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</si>
  <si>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</si>
  <si>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</si>
  <si>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</si>
  <si>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=IF(M32="","Hide","Show")</t>
  </si>
  <si>
    <t>="""UICACS"","""",""SQL="",""2=DOCNUM"",""33035796"",""14=CUSTREF"",""8000008754"",""14=U_CUSTREF"",""8000008754"",""15=DOCDATE"",""2/7/2024"",""15=TAXDATE"",""2/7/2024"",""14=CARDCODE"",""CI0099-SGD"",""14=CARDNAME"",""SYNAPXE PTE. LTD."",""14=ITEMCODE"",""MSMX3-00117GLP"",""14=ITEMNAME"",""MS VS"&amp;"ENTSUBMSDN ALNG SA MVL"",""10=QUANTITY"",""6.000000"",""14=U_PONO"",""946096/A"",""15=U_PODATE"",""2/10/2023"",""10=U_TLINTCOS"",""0.000000"",""2=SLPCODE"",""132"",""14=SLPNAME"",""E0001-CS"",""14=MEMO"",""WENDY KUM CHIOU SZE"",""14=CONTACTNAME"",""E-INVOICE(AP DIRECT)"",""10=LINETOTAL"","""&amp;"8657.220000"",""14=U_ENR"","""",""14=U_MSENR"",""S7138270"",""14=U_MSPCN"",""AD5A91AA"",""14=ADDRESS2"",""NANDINI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</si>
  <si>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</si>
  <si>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</si>
  <si>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</si>
  <si>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</si>
  <si>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</si>
  <si>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</si>
  <si>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</si>
  <si>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</si>
  <si>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=IFERROR(NF($E32,"U_PONo"),"-")</t>
  </si>
  <si>
    <t>=IFERROR(NF($E32,"U_PODate"),"-")</t>
  </si>
  <si>
    <t>=IFERROR(NF($E32,"U_CustRef"),"-")</t>
  </si>
  <si>
    <t>=IFERROR(NF($E32,"DocDate"),"-")</t>
  </si>
  <si>
    <t>=SUM(N32-T32)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</si>
  <si>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</si>
  <si>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</si>
  <si>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</si>
  <si>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</si>
  <si>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</si>
  <si>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=IFERROR(AD32/AA32,0)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</si>
  <si>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</si>
  <si>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</si>
  <si>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</si>
  <si>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</si>
  <si>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</si>
  <si>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</si>
  <si>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</si>
  <si>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=IF(M33="","Hide","Show")</t>
  </si>
  <si>
    <t>="""UICACS"","""",""SQL="",""2=DOCNUM"",""33035796"",""14=CUSTREF"",""8000008754"",""14=U_CUSTREF"",""8000008754"",""15=DOCDATE"",""2/7/2024"",""15=TAXDATE"",""2/7/2024"",""14=CARDCODE"",""CI0099-SGD"",""14=CARDNAME"",""SYNAPXE PTE. LTD."",""14=ITEMCODE"",""MSMX3-00117GLP"",""14=ITEMNAME"",""MS VS"&amp;"ENTSUBMSDN ALNG SA MVL"",""10=QUANTITY"",""1.000000"",""14=U_PONO"",""946096/A"",""15=U_PODATE"",""2/10/2023"",""10=U_TLINTCOS"",""0.000000"",""2=SLPCODE"",""132"",""14=SLPNAME"",""E0001-CS"",""14=MEMO"",""WENDY KUM CHIOU SZE"",""14=CONTACTNAME"",""E-INVOICE(AP DIRECT)"",""10=LINETOTAL"","""&amp;"1442.540000"",""14=U_ENR"","""",""14=U_MSENR"",""S7138270"",""14=U_MSPCN"",""AD5A91AA"",""14=ADDRESS2"",""NANDINI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</si>
  <si>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</si>
  <si>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</si>
  <si>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</si>
  <si>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</si>
  <si>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</si>
  <si>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</si>
  <si>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</si>
  <si>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</si>
  <si>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=IFERROR(NF($E33,"U_PONo"),"-")</t>
  </si>
  <si>
    <t>=IFERROR(NF($E33,"U_PODate"),"-")</t>
  </si>
  <si>
    <t>=IFERROR(NF($E33,"U_CustRef"),"-")</t>
  </si>
  <si>
    <t>=IFERROR(NF($E33,"DocDate"),"-")</t>
  </si>
  <si>
    <t>=SUM(N33-T33)</t>
  </si>
  <si>
    <t>=IFERROR(NF($E33,"ITEMCODE"),"-")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</si>
  <si>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</si>
  <si>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</si>
  <si>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</si>
  <si>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</si>
  <si>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=IFERROR(AD33/AA33,0)</t>
  </si>
  <si>
    <t>=IFERROR(NF($E33,"LINETOTAL"),"-")</t>
  </si>
  <si>
    <t>=IFERROR(NF($E33,"U_BPurDisc"),"-")</t>
  </si>
  <si>
    <t>=IFERROR(NF($E33,"ADDRESS2"),"-")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</si>
  <si>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</si>
  <si>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</si>
  <si>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</si>
  <si>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</si>
  <si>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=IF(M34="","Hide","Show")</t>
  </si>
  <si>
    <t>="""UICACS"","""",""SQL="",""2=DOCNUM"",""33035796"",""14=CUSTREF"",""8000008754"",""14=U_CUSTREF"",""8000008754"",""15=DOCDATE"",""2/7/2024"",""15=TAXDATE"",""2/7/2024"",""14=CARDCODE"",""CI0099-SGD"",""14=CARDNAME"",""SYNAPXE PTE. LTD."",""14=ITEMCODE"",""MS77D-00111GLP"",""14=ITEMNAME"",""MS VS"&amp;"PROwMSDN ALNG SA MVL"",""10=QUANTITY"",""31.000000"",""14=U_PONO"",""946096/A"",""15=U_PODATE"",""2/10/2023"",""10=U_TLINTCOS"",""0.000000"",""2=SLPCODE"",""132"",""14=SLPNAME"",""E0001-CS"",""14=MEMO"",""WENDY KUM CHIOU SZE"",""14=CONTACTNAME"",""E-INVOICE(AP DIRECT)"",""10=LINETOTAL"",""1"&amp;"2808.270000"",""14=U_ENR"","""",""14=U_MSENR"",""S7138270"",""14=U_MSPCN"",""AD5A91AA"",""14=ADDRESS2"",""NANDINI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t>
  </si>
  <si>
    <t>=MONTH(N34)</t>
  </si>
  <si>
    <t>=YEAR(N34)</t>
  </si>
  <si>
    <t>=IFERROR(NF($E34,"DOCNUM"),"-")</t>
  </si>
  <si>
    <t>=IFERROR(NF($E34,"DOCDATE"),"-")</t>
  </si>
  <si>
    <t>=IFERROR(NF($E34,"U_MSENR"),"-")</t>
  </si>
  <si>
    <t>=IFERROR(NF($E34,"U_MSPCN"),"-")</t>
  </si>
  <si>
    <t>=IFERROR(NF($E34,"CARDCODE"),"-")</t>
  </si>
  <si>
    <t>=IFERROR(NF($E34,"CARDNAME"),"-")</t>
  </si>
  <si>
    <t>=IFERROR(NF($E34,"U_PONo"),"-")</t>
  </si>
  <si>
    <t>=IFERROR(NF($E34,"U_PODate"),"-")</t>
  </si>
  <si>
    <t>=IFERROR(NF($E34,"U_CustRef"),"-")</t>
  </si>
  <si>
    <t>=IFERROR(NF($E34,"DocDate"),"-")</t>
  </si>
  <si>
    <t>=SUM(N34-T34)</t>
  </si>
  <si>
    <t>=IFERROR(NF($E34,"ITEMCODE"),"-")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</si>
  <si>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</si>
  <si>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</si>
  <si>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</si>
  <si>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</si>
  <si>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=IFERROR(AD34/AA34,0)</t>
  </si>
  <si>
    <t>=IFERROR(NF($E34,"LINETOTAL"),"-")</t>
  </si>
  <si>
    <t>=IFERROR(NF($E34,"U_BPurDisc"),"-")</t>
  </si>
  <si>
    <t>=IFERROR(NF($E34,"ADDRESS2"),"-")</t>
  </si>
  <si>
    <t>=IFERROR(NF($E34,"U_SWSub"),"-")</t>
  </si>
  <si>
    <t>=IFERROR(NF($E34,"U_LicComDt"),"-")</t>
  </si>
  <si>
    <t>=IFERROR(NF($E34,"U_LicEndDt"),"-")</t>
  </si>
  <si>
    <t>=IFERROR(NF($E34,"Comments"),"-")</t>
  </si>
  <si>
    <t>=IF(M35="","Hide","Show")</t>
  </si>
  <si>
    <t>="""UICACS"","""",""SQL="",""2=DOCNUM"",""33035796"",""14=CUSTREF"",""8000008754"",""14=U_CUSTREF"",""8000008754"",""15=DOCDATE"",""2/7/2024"",""15=TAXDATE"",""2/7/2024"",""14=CARDCODE"",""CI0099-SGD"",""14=CARDNAME"",""SYNAPXE PTE. LTD."",""14=ITEMCODE"",""MS77D-00111GLP"",""14=ITEMNAME"",""MS VS"&amp;"PROwMSDN ALNG SA MVL"",""10=QUANTITY"",""33.000000"",""14=U_PONO"",""946096/A"",""15=U_PODATE"",""2/10/2023"",""10=U_TLINTCOS"",""0.000000"",""2=SLPCODE"",""132"",""14=SLPNAME"",""E0001-CS"",""14=MEMO"",""WENDY KUM CHIOU SZE"",""14=CONTACTNAME"",""E-INVOICE(AP DIRECT)"",""10=LINETOTAL"",""1"&amp;"3635.270000"",""14=U_ENR"","""",""14=U_MSENR"",""S7138270"",""14=U_MSPCN"",""AD5A91AA"",""14=ADDRESS2"",""NANDINI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t>
  </si>
  <si>
    <t>=MONTH(N35)</t>
  </si>
  <si>
    <t>=YEAR(N35)</t>
  </si>
  <si>
    <t>=IFERROR(NF($E35,"DOCNUM"),"-")</t>
  </si>
  <si>
    <t>=IFERROR(NF($E35,"DOCDATE"),"-")</t>
  </si>
  <si>
    <t>=IFERROR(NF($E35,"U_MSENR"),"-")</t>
  </si>
  <si>
    <t>=IFERROR(NF($E35,"U_MSPCN"),"-")</t>
  </si>
  <si>
    <t>=IFERROR(NF($E35,"CARDCODE"),"-")</t>
  </si>
  <si>
    <t>=IFERROR(NF($E35,"CARDNAME"),"-")</t>
  </si>
  <si>
    <t>=IFERROR(NF($E35,"U_PONo"),"-")</t>
  </si>
  <si>
    <t>=IFERROR(NF($E35,"U_PODate"),"-")</t>
  </si>
  <si>
    <t>=IFERROR(NF($E35,"U_CustRef"),"-")</t>
  </si>
  <si>
    <t>=IFERROR(NF($E35,"DocDate"),"-")</t>
  </si>
  <si>
    <t>=SUM(N35-T35)</t>
  </si>
  <si>
    <t>=IFERROR(NF($E35,"ITEMCODE"),"-")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</si>
  <si>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</si>
  <si>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</si>
  <si>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</si>
  <si>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</si>
  <si>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=IFERROR(AD35/AA35,0)</t>
  </si>
  <si>
    <t>=IFERROR(NF($E35,"LINETOTAL"),"-")</t>
  </si>
  <si>
    <t>=IFERROR(NF($E35,"U_BPurDisc"),"-")</t>
  </si>
  <si>
    <t>=IFERROR(NF($E35,"ADDRESS2"),"-")</t>
  </si>
  <si>
    <t>=IFERROR(NF($E35,"U_SWSub"),"-")</t>
  </si>
  <si>
    <t>=IFERROR(NF($E35,"U_LicComDt"),"-")</t>
  </si>
  <si>
    <t>=IFERROR(NF($E35,"U_LicEndDt"),"-")</t>
  </si>
  <si>
    <t>=IFERROR(NF($E35,"Comments"),"-")</t>
  </si>
  <si>
    <t>=IF(M36="","Hide","Show")</t>
  </si>
  <si>
    <t>="""UICACS"","""",""SQL="",""2=DOCNUM"",""33035796"",""14=CUSTREF"",""8000008754"",""14=U_CUSTREF"",""8000008754"",""15=DOCDATE"",""2/7/2024"",""15=TAXDATE"",""2/7/2024"",""14=CARDCODE"",""CI0099-SGD"",""14=CARDNAME"",""SYNAPXE PTE. LTD."",""14=ITEMCODE"",""MS77D-00111GLP"",""14=ITEMNAME"",""MS VS"&amp;"PROwMSDN ALNG SA MVL"",""10=QUANTITY"",""1.000000"",""14=U_PONO"",""946096/A"",""15=U_PODATE"",""2/10/2023"",""10=U_TLINTCOS"",""0.000000"",""2=SLPCODE"",""132"",""14=SLPNAME"",""E0001-CS"",""14=MEMO"",""WENDY KUM CHIOU SZE"",""14=CONTACTNAME"",""E-INVOICE(AP DIRECT)"",""10=LINETOTAL"",""41"&amp;"3.160000"",""14=U_ENR"","""",""14=U_MSENR"",""S7138270"",""14=U_MSPCN"",""AD5A91AA"",""14=ADDRESS2"",""NANDINI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nandini"&amp;".sivasubramaniam@synapxe.sg"""</t>
  </si>
  <si>
    <t>=MONTH(N36)</t>
  </si>
  <si>
    <t>=YEAR(N36)</t>
  </si>
  <si>
    <t>=IFERROR(NF($E36,"DOCNUM"),"-")</t>
  </si>
  <si>
    <t>=IFERROR(NF($E36,"DOCDATE"),"-")</t>
  </si>
  <si>
    <t>=IFERROR(NF($E36,"U_MSENR"),"-")</t>
  </si>
  <si>
    <t>=IFERROR(NF($E36,"U_MSPCN"),"-")</t>
  </si>
  <si>
    <t>=IFERROR(NF($E36,"CARDCODE"),"-")</t>
  </si>
  <si>
    <t>=IFERROR(NF($E36,"CARDNAME"),"-")</t>
  </si>
  <si>
    <t>=IFERROR(NF($E36,"U_PONo"),"-")</t>
  </si>
  <si>
    <t>=IFERROR(NF($E36,"U_PODate"),"-")</t>
  </si>
  <si>
    <t>=IFERROR(NF($E36,"U_CustRef"),"-")</t>
  </si>
  <si>
    <t>=IFERROR(NF($E36,"DocDate"),"-")</t>
  </si>
  <si>
    <t>=SUM(N36-T36)</t>
  </si>
  <si>
    <t>=IFERROR(NF($E36,"ITEMCODE"),"-")</t>
  </si>
  <si>
    <t>=IFERROR(NF($E36,"ITEMNAME"),"-")</t>
  </si>
  <si>
    <t>=IFERROR(NF($E36,"MEMO"),"-")</t>
  </si>
  <si>
    <t>=IFERROR(NF($E36,"QUANTITY"),"-")</t>
  </si>
  <si>
    <t>=IFERROR(NF($E36,"CONTACTNAME"),"-")</t>
  </si>
  <si>
    <t>=IFERROR(AD36/AA36,0)</t>
  </si>
  <si>
    <t>=IFERROR(NF($E36,"LINETOTAL"),"-")</t>
  </si>
  <si>
    <t>=IFERROR(NF($E36,"U_BPurDisc"),"-")</t>
  </si>
  <si>
    <t>=IFERROR(NF($E36,"ADDRESS2"),"-")</t>
  </si>
  <si>
    <t>=IFERROR(NF($E36,"U_SWSub"),"-")</t>
  </si>
  <si>
    <t>=IFERROR(NF($E36,"U_LicComDt"),"-")</t>
  </si>
  <si>
    <t>=IFERROR(NF($E36,"U_LicEndDt"),"-")</t>
  </si>
  <si>
    <t>=IFERROR(NF($E36,"Comments"),"-")</t>
  </si>
  <si>
    <t>=IF(M37="","Hide","Show")</t>
  </si>
  <si>
    <t>="""UICACS"","""",""SQL="",""2=DOCNUM"",""33035798"",""14=CUSTREF"",""8000009282"",""14=U_CUSTREF"",""8000009282"",""15=DOCDATE"",""2/7/2024"",""15=TAXDATE"",""2/7/2024"",""14=CARDCODE"",""CI0099-SGD"",""14=CARDNAME"",""SYNAPXE PTE. LTD."",""14=ITEMCODE"",""MS77D-00111GLP"",""14=ITEMNAME"",""MS VS"&amp;"PROwMSDN ALNG SA MVL"",""10=QUANTITY"",""42.000000"",""14=U_PONO"",""948837"",""15=U_PODATE"",""26/2/2024"",""10=U_TLINTCOS"",""0.000000"",""2=SLPCODE"",""132"",""14=SLPNAME"",""E0001-CS"",""14=MEMO"",""WENDY KUM CHIOU SZE"",""14=CONTACTNAME"",""E-INVOICE(AP DIRECT)"",""10=LINETOTAL"",""176"&amp;"86.620000"",""14=U_ENR"","""",""14=U_MSENR"",""S7138270"",""14=U_MSPCN"",""AD5A91AA"",""14=ADDRESS2"",""FELICIA LIN_x000D_SYNAPXE PTE. LTD. 6 SERANGOON NORTH AVE 5, #01-01/02, SINGAPORE 554910_x000D_FELICIA LIN_x000D_TEL: 6594 5423/9369 4383_x000D_FAX: _x000D_EMAIL: felicia.lin@synapxe.sg"""</t>
  </si>
  <si>
    <t>=MONTH(N37)</t>
  </si>
  <si>
    <t>=YEAR(N37)</t>
  </si>
  <si>
    <t>=IFERROR(NF($E37,"DOCNUM"),"-")</t>
  </si>
  <si>
    <t>=IFERROR(NF($E37,"DOCDATE"),"-")</t>
  </si>
  <si>
    <t>=IFERROR(NF($E37,"U_MSENR"),"-")</t>
  </si>
  <si>
    <t>=IFERROR(NF($E37,"U_MSPCN"),"-")</t>
  </si>
  <si>
    <t>=IFERROR(NF($E37,"CARDCODE"),"-")</t>
  </si>
  <si>
    <t>=IFERROR(NF($E37,"CARDNAME"),"-")</t>
  </si>
  <si>
    <t>=IFERROR(NF($E37,"U_PONo"),"-")</t>
  </si>
  <si>
    <t>=IFERROR(NF($E37,"U_PODate"),"-")</t>
  </si>
  <si>
    <t>=IFERROR(NF($E37,"U_CustRef"),"-")</t>
  </si>
  <si>
    <t>=IFERROR(NF($E37,"DocDate"),"-")</t>
  </si>
  <si>
    <t>=SUM(N37-T37)</t>
  </si>
  <si>
    <t>=IFERROR(NF($E37,"ITEMCODE"),"-")</t>
  </si>
  <si>
    <t>=IFERROR(NF($E37,"ITEMNAME"),"-")</t>
  </si>
  <si>
    <t>=IFERROR(NF($E37,"MEMO"),"-")</t>
  </si>
  <si>
    <t>=IFERROR(NF($E37,"QUANTITY"),"-")</t>
  </si>
  <si>
    <t>=IFERROR(NF($E37,"CONTACTNAME"),"-")</t>
  </si>
  <si>
    <t>=IFERROR(AD37/AA37,0)</t>
  </si>
  <si>
    <t>=IFERROR(NF($E37,"LINETOTAL"),"-")</t>
  </si>
  <si>
    <t>=IFERROR(NF($E37,"U_BPurDisc"),"-")</t>
  </si>
  <si>
    <t>=IFERROR(NF($E37,"ADDRESS2"),"-")</t>
  </si>
  <si>
    <t>=IFERROR(NF($E37,"U_SWSub"),"-")</t>
  </si>
  <si>
    <t>=IFERROR(NF($E37,"U_LicComDt"),"-")</t>
  </si>
  <si>
    <t>=IFERROR(NF($E37,"U_LicEndDt"),"-")</t>
  </si>
  <si>
    <t>=IFERROR(NF($E37,"Comments"),"-")</t>
  </si>
  <si>
    <t>=IF(M38="","Hide","Show")</t>
  </si>
  <si>
    <t>="""UICACS"","""",""SQL="",""2=DOCNUM"",""33035798"",""14=CUSTREF"",""8000009282"",""14=U_CUSTREF"",""8000009282"",""15=DOCDATE"",""2/7/2024"",""15=TAXDATE"",""2/7/2024"",""14=CARDCODE"",""CI0099-SGD"",""14=CARDNAME"",""SYNAPXE PTE. LTD."",""14=ITEMCODE"",""MS77D-00111GLP"",""14=ITEMNAME"",""MS VS"&amp;"PROwMSDN ALNG SA MVL"",""10=QUANTITY"",""1.000000"",""14=U_PONO"",""948837"",""15=U_PODATE"",""26/2/2024"",""10=U_TLINTCOS"",""0.000000"",""2=SLPCODE"",""132"",""14=SLPNAME"",""E0001-CS"",""14=MEMO"",""WENDY KUM CHIOU SZE"",""14=CONTACTNAME"",""E-INVOICE(AP DIRECT)"",""10=LINETOTAL"",""421."&amp;"160000"",""14=U_ENR"","""",""14=U_MSENR"",""S7138270"",""14=U_MSPCN"",""AD5A91AA"",""14=ADDRESS2"",""FELICIA LIN_x000D_SYNAPXE PTE. LTD. 6 SERANGOON NORTH AVE 5, #01-01/02, SINGAPORE 554910_x000D_FELICIA LIN_x000D_TEL: 6594 5423/9369 4383_x000D_FAX: _x000D_EMAIL: felicia.lin@synapxe.sg"""</t>
  </si>
  <si>
    <t>=MONTH(N38)</t>
  </si>
  <si>
    <t>=YEAR(N38)</t>
  </si>
  <si>
    <t>=IFERROR(NF($E38,"DOCNUM"),"-")</t>
  </si>
  <si>
    <t>=IFERROR(NF($E38,"DOCDATE"),"-")</t>
  </si>
  <si>
    <t>=IFERROR(NF($E38,"U_MSENR"),"-")</t>
  </si>
  <si>
    <t>=IFERROR(NF($E38,"U_MSPCN"),"-")</t>
  </si>
  <si>
    <t>=IFERROR(NF($E38,"CARDCODE"),"-")</t>
  </si>
  <si>
    <t>=IFERROR(NF($E38,"CARDNAME"),"-")</t>
  </si>
  <si>
    <t>=IFERROR(NF($E38,"U_PONo"),"-")</t>
  </si>
  <si>
    <t>=IFERROR(NF($E38,"U_PODate"),"-")</t>
  </si>
  <si>
    <t>=IFERROR(NF($E38,"U_CustRef"),"-")</t>
  </si>
  <si>
    <t>=IFERROR(NF($E38,"DocDate"),"-")</t>
  </si>
  <si>
    <t>=SUM(N38-T38)</t>
  </si>
  <si>
    <t>=IFERROR(NF($E38,"ITEMCODE"),"-")</t>
  </si>
  <si>
    <t>=IFERROR(NF($E38,"ITEMNAME"),"-")</t>
  </si>
  <si>
    <t>=IFERROR(NF($E38,"MEMO"),"-")</t>
  </si>
  <si>
    <t>=IFERROR(NF($E38,"QUANTITY"),"-")</t>
  </si>
  <si>
    <t>=IFERROR(NF($E38,"CONTACTNAME"),"-")</t>
  </si>
  <si>
    <t>=IFERROR(AD38/AA38,0)</t>
  </si>
  <si>
    <t>=IFERROR(NF($E38,"LINETOTAL"),"-")</t>
  </si>
  <si>
    <t>=IFERROR(NF($E38,"U_BPurDisc"),"-")</t>
  </si>
  <si>
    <t>=IFERROR(NF($E38,"ADDRESS2"),"-")</t>
  </si>
  <si>
    <t>=IFERROR(NF($E38,"U_SWSub"),"-")</t>
  </si>
  <si>
    <t>=IFERROR(NF($E38,"U_LicComDt"),"-")</t>
  </si>
  <si>
    <t>=IFERROR(NF($E38,"U_LicEndDt"),"-")</t>
  </si>
  <si>
    <t>=IFERROR(NF($E38,"Comments"),"-")</t>
  </si>
  <si>
    <t>=IF(M39="","Hide","Show")</t>
  </si>
  <si>
    <t>="""UICACS"","""",""SQL="",""2=DOCNUM"",""33035807"",""14=CUSTREF"",""8000009491"",""14=U_CUSTREF"",""8000009491"",""15=DOCDATE"",""3/7/2024"",""15=TAXDATE"",""3/7/2024"",""14=CARDCODE"",""CI0099-SGD"",""14=CARDNAME"",""SYNAPXE PTE. LTD."",""14=ITEMCODE"",""MS7JQ-00355GLP"",""14=ITEMNAME"",""MS SQ"&amp;"L SERVER ENTERPRISE CORE SLNG SA 2L"",""10=QUANTITY"",""2.000000"",""14=U_PONO"",""949498/A"",""15=U_PODATE"",""28/3/2024"",""10=U_TLINTCOS"",""0.000000"",""2=SLPCODE"",""132"",""14=SLPNAME"",""E0001-CS"",""14=MEMO"",""WENDY KUM CHIOU SZE"",""14=CONTACTNAME"",""E-INVOICE(AP DIRECT)"",""10"&amp;"=LINETOTAL"",""19951.400000"",""14=U_ENR"","""",""14=U_MSENR"",""S7138270"",""14=U_MSPCN"",""AD5A91AA"",""14=ADDRESS2"",""CALEB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caleb."&amp;"lim@synapxe.sg"""</t>
  </si>
  <si>
    <t>=MONTH(N39)</t>
  </si>
  <si>
    <t>=YEAR(N39)</t>
  </si>
  <si>
    <t>=IFERROR(NF($E39,"DOCNUM"),"-")</t>
  </si>
  <si>
    <t>=IFERROR(NF($E39,"DOCDATE"),"-")</t>
  </si>
  <si>
    <t>=IFERROR(NF($E39,"U_MSENR"),"-")</t>
  </si>
  <si>
    <t>=IFERROR(NF($E39,"U_MSPCN"),"-")</t>
  </si>
  <si>
    <t>=IFERROR(NF($E39,"CARDCODE"),"-")</t>
  </si>
  <si>
    <t>=IFERROR(NF($E39,"CARDNAME"),"-")</t>
  </si>
  <si>
    <t>=IFERROR(NF($E39,"U_PONo"),"-")</t>
  </si>
  <si>
    <t>=IFERROR(NF($E39,"U_PODate"),"-")</t>
  </si>
  <si>
    <t>=IFERROR(NF($E39,"U_CustRef"),"-")</t>
  </si>
  <si>
    <t>=IFERROR(NF($E39,"DocDate"),"-")</t>
  </si>
  <si>
    <t>=SUM(N39-T39)</t>
  </si>
  <si>
    <t>=IFERROR(NF($E39,"ITEMCODE"),"-")</t>
  </si>
  <si>
    <t>=IFERROR(NF($E39,"ITEMNAME"),"-")</t>
  </si>
  <si>
    <t>=IFERROR(NF($E39,"MEMO"),"-")</t>
  </si>
  <si>
    <t>=IFERROR(NF($E39,"QUANTITY"),"-")</t>
  </si>
  <si>
    <t>=IFERROR(NF($E39,"CONTACTNAME"),"-")</t>
  </si>
  <si>
    <t>=IFERROR(AD39/AA39,0)</t>
  </si>
  <si>
    <t>=IFERROR(NF($E39,"LINETOTAL"),"-")</t>
  </si>
  <si>
    <t>=IFERROR(NF($E39,"U_BPurDisc"),"-")</t>
  </si>
  <si>
    <t>=IFERROR(NF($E39,"ADDRESS2"),"-")</t>
  </si>
  <si>
    <t>=IFERROR(NF($E39,"U_SWSub"),"-")</t>
  </si>
  <si>
    <t>=IFERROR(NF($E39,"U_LicComDt"),"-")</t>
  </si>
  <si>
    <t>=IFERROR(NF($E39,"U_LicEndDt"),"-")</t>
  </si>
  <si>
    <t>=IFERROR(NF($E39,"Comments"),"-")</t>
  </si>
  <si>
    <t>=IF(M40="","Hide","Show")</t>
  </si>
  <si>
    <t>="""UICACS"","""",""SQL="",""2=DOCNUM"",""33035807"",""14=CUSTREF"",""8000009491"",""14=U_CUSTREF"",""8000009491"",""15=DOCDATE"",""3/7/2024"",""15=TAXDATE"",""3/7/2024"",""14=CARDCODE"",""CI0099-SGD"",""14=CARDNAME"",""SYNAPXE PTE. LTD."",""14=ITEMCODE"",""MS9EA-00264GLP"",""14=ITEMNAME"",""MS WI"&amp;"N SERVER DC CORE SLNG SA 16L"",""10=QUANTITY"",""12.000000"",""14=U_PONO"",""949498/A"",""15=U_PODATE"",""28/3/2024"",""10=U_TLINTCOS"",""0.000000"",""2=SLPCODE"",""132"",""14=SLPNAME"",""E0001-CS"",""14=MEMO"",""WENDY KUM CHIOU SZE"",""14=CONTACTNAME"",""E-INVOICE(AP DIRECT)"",""10=LINET"&amp;"OTAL"",""48705.840000"",""14=U_ENR"","""",""14=U_MSENR"",""S7138270"",""14=U_MSPCN"",""AD5A91AA"",""14=ADDRESS2"",""CALEB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caleb.lim@sy"&amp;"napxe.sg"""</t>
  </si>
  <si>
    <t>=MONTH(N40)</t>
  </si>
  <si>
    <t>=YEAR(N40)</t>
  </si>
  <si>
    <t>=IFERROR(NF($E40,"DOCNUM"),"-")</t>
  </si>
  <si>
    <t>=IFERROR(NF($E40,"DOCDATE"),"-")</t>
  </si>
  <si>
    <t>=IFERROR(NF($E40,"U_MSENR"),"-")</t>
  </si>
  <si>
    <t>=IFERROR(NF($E40,"U_MSPCN"),"-")</t>
  </si>
  <si>
    <t>=IFERROR(NF($E40,"CARDCODE"),"-")</t>
  </si>
  <si>
    <t>=IFERROR(NF($E40,"CARDNAME"),"-")</t>
  </si>
  <si>
    <t>=IFERROR(NF($E40,"U_PONo"),"-")</t>
  </si>
  <si>
    <t>=IFERROR(NF($E40,"U_PODate"),"-")</t>
  </si>
  <si>
    <t>=IFERROR(NF($E40,"U_CustRef"),"-")</t>
  </si>
  <si>
    <t>=IFERROR(NF($E40,"DocDate"),"-")</t>
  </si>
  <si>
    <t>=SUM(N40-T40)</t>
  </si>
  <si>
    <t>=IFERROR(NF($E40,"ITEMCODE"),"-")</t>
  </si>
  <si>
    <t>=IFERROR(NF($E40,"ITEMNAME"),"-")</t>
  </si>
  <si>
    <t>=IFERROR(NF($E40,"MEMO"),"-")</t>
  </si>
  <si>
    <t>=IFERROR(NF($E40,"QUANTITY"),"-")</t>
  </si>
  <si>
    <t>=IFERROR(NF($E40,"CONTACTNAME"),"-")</t>
  </si>
  <si>
    <t>=IFERROR(AD40/AA40,0)</t>
  </si>
  <si>
    <t>=IFERROR(NF($E40,"LINETOTAL"),"-")</t>
  </si>
  <si>
    <t>=IFERROR(NF($E40,"U_BPurDisc"),"-")</t>
  </si>
  <si>
    <t>=IFERROR(NF($E40,"ADDRESS2"),"-")</t>
  </si>
  <si>
    <t>=IFERROR(NF($E40,"U_SWSub"),"-")</t>
  </si>
  <si>
    <t>=IFERROR(NF($E40,"U_LicComDt"),"-")</t>
  </si>
  <si>
    <t>=IFERROR(NF($E40,"U_LicEndDt"),"-")</t>
  </si>
  <si>
    <t>=IFERROR(NF($E40,"Comments"),"-")</t>
  </si>
  <si>
    <t>=IF(M41="","Hide","Show")</t>
  </si>
  <si>
    <t>="""UICACS"","""",""SQL="",""2=DOCNUM"",""33035870"",""14=CUSTREF"",""8100000240"",""14=U_CUSTREF"",""8100000240"",""15=DOCDATE"",""11/7/2024"",""15=TAXDATE"",""11/7/2024"",""14=CARDCODE"",""CI0099-SGD"",""14=CARDNAME"",""SYNAPXE PTE. LTD."",""14=ITEMCODE"",""MS7JQ-00355GLP"",""14=ITEMNAME"",""MS "&amp;"SQL SERVER ENTERPRISE CORE SLNG SA 2L"",""10=QUANTITY"",""2.000000"",""14=U_PONO"",""951310"",""15=U_PODATE"",""11/7/2024"",""10=U_TLINTCOS"",""0.000000"",""2=SLPCODE"",""132"",""14=SLPNAME"",""E0001-CS"",""14=MEMO"",""WENDY KUM CHIOU SZE"",""14=CONTACTNAME"",""E-INVOICE(AP DIRECT)"",""10"&amp;"=LINETOTAL"",""19924.240000"",""14=U_ENR"","""",""14=U_MSENR"",""S7138270"",""14=U_MSPCN"",""AD5A91AA"",""14=ADDRESS2"",""TAN CHEK WEE_x000D_SYNAPXE PTE. LTD. 1 NORTH BOUNA VISTA LINK, #05-01, ELEMENTUM SINGAPORE 139691_x000D_TAN CHEK WEE_x000D_TEL: 96501534_x000D_FAX: _x000D_EMAIL: tan.chek.wee@synapx"&amp;"e.sg"""</t>
  </si>
  <si>
    <t>=MONTH(N41)</t>
  </si>
  <si>
    <t>=YEAR(N41)</t>
  </si>
  <si>
    <t>=IFERROR(NF($E41,"DOCNUM"),"-")</t>
  </si>
  <si>
    <t>=IFERROR(NF($E41,"DOCDATE"),"-")</t>
  </si>
  <si>
    <t>=IFERROR(NF($E41,"U_MSENR"),"-")</t>
  </si>
  <si>
    <t>=IFERROR(NF($E41,"U_MSPCN"),"-")</t>
  </si>
  <si>
    <t>=IFERROR(NF($E41,"CARDCODE"),"-")</t>
  </si>
  <si>
    <t>=IFERROR(NF($E41,"CARDNAME"),"-")</t>
  </si>
  <si>
    <t>=IFERROR(NF($E41,"U_PONo"),"-")</t>
  </si>
  <si>
    <t>=IFERROR(NF($E41,"U_PODate"),"-")</t>
  </si>
  <si>
    <t>=IFERROR(NF($E41,"U_CustRef"),"-")</t>
  </si>
  <si>
    <t>=IFERROR(NF($E41,"DocDate"),"-")</t>
  </si>
  <si>
    <t>=SUM(N41-T41)</t>
  </si>
  <si>
    <t>=IFERROR(NF($E41,"ITEMCODE"),"-")</t>
  </si>
  <si>
    <t>=IFERROR(NF($E41,"ITEMNAME"),"-")</t>
  </si>
  <si>
    <t>=IFERROR(NF($E41,"MEMO"),"-")</t>
  </si>
  <si>
    <t>=IFERROR(NF($E41,"QUANTITY"),"-")</t>
  </si>
  <si>
    <t>=IFERROR(NF($E41,"CONTACTNAME"),"-")</t>
  </si>
  <si>
    <t>=IFERROR(AD41/AA41,0)</t>
  </si>
  <si>
    <t>=IFERROR(NF($E41,"LINETOTAL"),"-")</t>
  </si>
  <si>
    <t>=IFERROR(NF($E41,"U_BPurDisc"),"-")</t>
  </si>
  <si>
    <t>=IFERROR(NF($E41,"ADDRESS2"),"-")</t>
  </si>
  <si>
    <t>=IFERROR(NF($E41,"U_SWSub"),"-")</t>
  </si>
  <si>
    <t>=IFERROR(NF($E41,"U_LicComDt"),"-")</t>
  </si>
  <si>
    <t>=IFERROR(NF($E41,"U_LicEndDt"),"-")</t>
  </si>
  <si>
    <t>=IFERROR(NF($E41,"Comments"),"-")</t>
  </si>
  <si>
    <t>=IF(M42="","Hide","Show")</t>
  </si>
  <si>
    <t>="""UICACS"","""",""SQL="",""2=DOCNUM"",""33035908"",""14=CUSTREF"",""9310005761"",""14=U_CUSTREF"",""9310005761"",""15=DOCDATE"",""16/7/2024"",""15=TAXDATE"",""16/7/2024"",""14=CARDCODE"",""CM0159-SGD"",""14=CARDNAME"",""MOH HOLDINGS PTE LTD"",""14=ITEMCODE"",""MS359-00993GLP"",""14=ITEMNAME"","""&amp;"MS SQL CAL SLNG LSA USER CAL"",""10=QUANTITY"",""1.000000"",""14=U_PONO"",""951360"",""15=U_PODATE"",""15/7/2024"",""10=U_TLINTCOS"",""0.000000"",""2=SLPCODE"",""132"",""14=SLPNAME"",""E0001-CS"",""14=MEMO"",""WENDY KUM CHIOU SZE"",""14=CONTACTNAME"",""E-INVOICE (AP DIRECT)"",""10=LINETOT"&amp;"AL"",""337.770000"",""14=U_ENR"","""",""14=U_MSENR"",""S7138270"",""14=U_MSPCN"",""9EC935A8"",""14=ADDRESS2"",""BENSON_x000D_MOH HOLDINGS PTE LTD 1 NORTH BUONA VISTA LINK ELEMENTUM #09-01 SINGAPORE 139691_x000D_BENSON_x000D_TEL: 88776020_x000D_FAX: _x000D_EMAIL: benson.chen@synapxe.sg"""</t>
  </si>
  <si>
    <t>=MONTH(N42)</t>
  </si>
  <si>
    <t>=YEAR(N42)</t>
  </si>
  <si>
    <t>=IFERROR(NF($E42,"DOCNUM"),"-")</t>
  </si>
  <si>
    <t>=IFERROR(NF($E42,"DOCDATE"),"-")</t>
  </si>
  <si>
    <t>=IFERROR(NF($E42,"U_MSENR"),"-")</t>
  </si>
  <si>
    <t>=IFERROR(NF($E42,"U_MSPCN"),"-")</t>
  </si>
  <si>
    <t>=IFERROR(NF($E42,"CARDCODE"),"-")</t>
  </si>
  <si>
    <t>=IFERROR(NF($E42,"CARDNAME"),"-")</t>
  </si>
  <si>
    <t>=IFERROR(NF($E42,"U_PONo"),"-")</t>
  </si>
  <si>
    <t>=IFERROR(NF($E42,"U_PODate"),"-")</t>
  </si>
  <si>
    <t>=IFERROR(NF($E42,"U_CustRef"),"-")</t>
  </si>
  <si>
    <t>=IFERROR(NF($E42,"DocDate"),"-")</t>
  </si>
  <si>
    <t>=SUM(N42-T42)</t>
  </si>
  <si>
    <t>=IFERROR(NF($E42,"ITEMCODE"),"-")</t>
  </si>
  <si>
    <t>=IFERROR(NF($E42,"ITEMNAME"),"-")</t>
  </si>
  <si>
    <t>=IFERROR(NF($E42,"MEMO"),"-")</t>
  </si>
  <si>
    <t>=IFERROR(NF($E42,"QUANTITY"),"-")</t>
  </si>
  <si>
    <t>=IFERROR(NF($E42,"CONTACTNAME"),"-")</t>
  </si>
  <si>
    <t>=IFERROR(AD42/AA42,0)</t>
  </si>
  <si>
    <t>=IFERROR(NF($E42,"LINETOTAL"),"-")</t>
  </si>
  <si>
    <t>=IFERROR(NF($E42,"U_BPurDisc"),"-")</t>
  </si>
  <si>
    <t>=IFERROR(NF($E42,"ADDRESS2"),"-")</t>
  </si>
  <si>
    <t>=IFERROR(NF($E42,"U_SWSub"),"-")</t>
  </si>
  <si>
    <t>=IFERROR(NF($E42,"U_LicComDt"),"-")</t>
  </si>
  <si>
    <t>=IFERROR(NF($E42,"U_LicEndDt"),"-")</t>
  </si>
  <si>
    <t>=IFERROR(NF($E42,"Comments"),"-")</t>
  </si>
  <si>
    <t>=IF(M43="","Hide","Show")</t>
  </si>
  <si>
    <t>="""UICACS"","""",""SQL="",""2=DOCNUM"",""33035908"",""14=CUSTREF"",""9310005761"",""14=U_CUSTREF"",""9310005761"",""15=DOCDATE"",""16/7/2024"",""15=TAXDATE"",""16/7/2024"",""14=CARDCODE"",""CM0159-SGD"",""14=CARDNAME"",""MOH HOLDINGS PTE LTD"",""14=ITEMCODE"",""MS228-04538GLP"",""14=ITEMNAME"","""&amp;"MS SQL SERVER STANDARD SLNG LSA"",""10=QUANTITY"",""1.000000"",""14=U_PONO"",""951360"",""15=U_PODATE"",""15/7/2024"",""10=U_TLINTCOS"",""0.000000"",""2=SLPCODE"",""132"",""14=SLPNAME"",""E0001-CS"",""14=MEMO"",""WENDY KUM CHIOU SZE"",""14=CONTACTNAME"",""E-INVOICE (AP DIRECT)"",""10=LINE"&amp;"TOTAL"",""1440.750000"",""14=U_ENR"","""",""14=U_MSENR"",""S7138270"",""14=U_MSPCN"",""9EC935A8"",""14=ADDRESS2"",""BENSON_x000D_MOH HOLDINGS PTE LTD 1 NORTH BUONA VISTA LINK ELEMENTUM #09-01 SINGAPORE 139691_x000D_BENSON_x000D_TEL: 88776020_x000D_FAX: _x000D_EMAIL: benson.chen@synapxe.sg"""</t>
  </si>
  <si>
    <t>=MONTH(N43)</t>
  </si>
  <si>
    <t>=YEAR(N43)</t>
  </si>
  <si>
    <t>=IFERROR(NF($E43,"DOCNUM"),"-")</t>
  </si>
  <si>
    <t>=IFERROR(NF($E43,"DOCDATE"),"-")</t>
  </si>
  <si>
    <t>=IFERROR(NF($E43,"U_MSENR"),"-")</t>
  </si>
  <si>
    <t>=IFERROR(NF($E43,"U_MSPCN"),"-")</t>
  </si>
  <si>
    <t>=IFERROR(NF($E43,"CARDCODE"),"-")</t>
  </si>
  <si>
    <t>=IFERROR(NF($E43,"CARDNAME"),"-")</t>
  </si>
  <si>
    <t>=IFERROR(NF($E43,"U_PONo"),"-")</t>
  </si>
  <si>
    <t>=IFERROR(NF($E43,"U_PODate"),"-")</t>
  </si>
  <si>
    <t>=IFERROR(NF($E43,"U_CustRef"),"-")</t>
  </si>
  <si>
    <t>=IFERROR(NF($E43,"DocDate"),"-")</t>
  </si>
  <si>
    <t>=SUM(N43-T43)</t>
  </si>
  <si>
    <t>=IFERROR(NF($E43,"ITEMCODE"),"-")</t>
  </si>
  <si>
    <t>=IFERROR(NF($E43,"ITEMNAME"),"-")</t>
  </si>
  <si>
    <t>=IFERROR(NF($E43,"MEMO"),"-")</t>
  </si>
  <si>
    <t>=IFERROR(NF($E43,"QUANTITY"),"-")</t>
  </si>
  <si>
    <t>=IFERROR(NF($E43,"CONTACTNAME"),"-")</t>
  </si>
  <si>
    <t>=IFERROR(AD43/AA43,0)</t>
  </si>
  <si>
    <t>=IFERROR(NF($E43,"LINETOTAL"),"-")</t>
  </si>
  <si>
    <t>=IFERROR(NF($E43,"U_BPurDisc"),"-")</t>
  </si>
  <si>
    <t>=IFERROR(NF($E43,"ADDRESS2"),"-")</t>
  </si>
  <si>
    <t>=IFERROR(NF($E43,"U_SWSub"),"-")</t>
  </si>
  <si>
    <t>=IFERROR(NF($E43,"U_LicComDt"),"-")</t>
  </si>
  <si>
    <t>=IFERROR(NF($E43,"U_LicEndDt"),"-")</t>
  </si>
  <si>
    <t>=IFERROR(NF($E43,"Comments"),"-")</t>
  </si>
  <si>
    <t>=IF(M44="","Hide","Show")</t>
  </si>
  <si>
    <t>="""UICACS"","""",""SQL="",""2=DOCNUM"",""33035958"",""14=CUSTREF"",""8100000259"",""14=U_CUSTREF"",""8100000259"",""15=DOCDATE"",""23/7/2024"",""15=TAXDATE"",""23/7/2024"",""14=CARDCODE"",""CI0099-SGD"",""14=CARDNAME"",""SYNAPXE PTE. LTD."",""14=ITEMCODE"",""MS021-10695GLP"",""14=ITEMNAME"",""MS "&amp;"OFFICE STD 2021 SNGL LTSC"",""10=QUANTITY"",""10.000000"",""14=U_PONO"",""951494"",""15=U_PODATE"",""22/7/2024"",""10=U_TLINTCOS"",""0.000000"",""2=SLPCODE"",""132"",""14=SLPNAME"",""E0001-CS"",""14=MEMO"",""WENDY KUM CHIOU SZE"",""14=CONTACTNAME"",""E-INVOICE(AP DIRECT)"",""10=LINETOTAL"""&amp;",""4106.400000"",""14=U_ENR"","""",""14=U_MSENR"",""S7138270"",""14=U_MSPCN"",""AD5A91AA"",""14=ADDRESS2"",""KOH TECK WEN_x000D_SYNAPXE PTE. LTD. 1 NORTH BOUNA VISTA LINK, #05-01 ELEMENTUM SINGAPORE 139691_x000D_KOH TECK WEN_x000D_TEL: 6594 2874 / 97717727_x000D_FAX: _x000D_EMAIL: koh.teck.wen@synapxe"&amp;".sg"""</t>
  </si>
  <si>
    <t>=MONTH(N44)</t>
  </si>
  <si>
    <t>=YEAR(N44)</t>
  </si>
  <si>
    <t>=IFERROR(NF($E44,"DOCNUM"),"-")</t>
  </si>
  <si>
    <t>=IFERROR(NF($E44,"DOCDATE"),"-")</t>
  </si>
  <si>
    <t>=IFERROR(NF($E44,"U_MSENR"),"-")</t>
  </si>
  <si>
    <t>=IFERROR(NF($E44,"U_MSPCN"),"-")</t>
  </si>
  <si>
    <t>=IFERROR(NF($E44,"CARDCODE"),"-")</t>
  </si>
  <si>
    <t>=IFERROR(NF($E44,"CARDNAME"),"-")</t>
  </si>
  <si>
    <t>=IFERROR(NF($E44,"U_PONo"),"-")</t>
  </si>
  <si>
    <t>=IFERROR(NF($E44,"U_PODate"),"-")</t>
  </si>
  <si>
    <t>=IFERROR(NF($E44,"U_CustRef"),"-")</t>
  </si>
  <si>
    <t>=IFERROR(NF($E44,"DocDate"),"-")</t>
  </si>
  <si>
    <t>=SUM(N44-T44)</t>
  </si>
  <si>
    <t>=IFERROR(NF($E44,"ITEMCODE"),"-")</t>
  </si>
  <si>
    <t>=IFERROR(NF($E44,"ITEMNAME"),"-")</t>
  </si>
  <si>
    <t>=IFERROR(NF($E44,"MEMO"),"-")</t>
  </si>
  <si>
    <t>=IFERROR(NF($E44,"QUANTITY"),"-")</t>
  </si>
  <si>
    <t>=IFERROR(NF($E44,"CONTACTNAME"),"-")</t>
  </si>
  <si>
    <t>=IFERROR(AD44/AA44,0)</t>
  </si>
  <si>
    <t>=IFERROR(NF($E44,"LINETOTAL"),"-")</t>
  </si>
  <si>
    <t>=IFERROR(NF($E44,"U_BPurDisc"),"-")</t>
  </si>
  <si>
    <t>=IFERROR(NF($E44,"ADDRESS2"),"-")</t>
  </si>
  <si>
    <t>=IFERROR(NF($E44,"U_SWSub"),"-")</t>
  </si>
  <si>
    <t>=IFERROR(NF($E44,"U_LicComDt"),"-")</t>
  </si>
  <si>
    <t>=IFERROR(NF($E44,"U_LicEndDt"),"-")</t>
  </si>
  <si>
    <t>=IFERROR(NF($E44,"Comments"),"-")</t>
  </si>
  <si>
    <t>=IF(M45="","Hide","Show")</t>
  </si>
  <si>
    <t>=IFERROR(NF($E45,"DOCNUM"),"-")</t>
  </si>
  <si>
    <t>=IFERROR(NF($E45,"DOCDATE"),"-")</t>
  </si>
  <si>
    <t>=IFERROR(NF($E45,"U_MSENR"),"-")</t>
  </si>
  <si>
    <t>=IFERROR(NF($E45,"CARDCODE"),"-")</t>
  </si>
  <si>
    <t>=IFERROR(NF($E45,"CARDNAME"),"-")</t>
  </si>
  <si>
    <t>=IFERROR(NF($E45,"ITEMCODE"),"-")</t>
  </si>
  <si>
    <t>=IFERROR(NF($E45,"U_CUSTREF"),"-")</t>
  </si>
  <si>
    <t>=IFERROR(NF($E45,"ITEMNAME"),"-")</t>
  </si>
  <si>
    <t>=IFERROR(NF($E45,"MEMO"),"-")</t>
  </si>
  <si>
    <t>=IFERROR(NF($E45,"QUANTITY"),"-")</t>
  </si>
  <si>
    <t>=IFERROR(NF($E45,"CONTACTNAME"),"-")</t>
  </si>
  <si>
    <t>=IFERROR(AD45/AA45,0)</t>
  </si>
  <si>
    <t>=IFERROR(NF($E45,"LINETOTAL"),"-")</t>
  </si>
  <si>
    <t>=IFERROR(NF($E45,"ADDRESS2"),"-")</t>
  </si>
  <si>
    <t>=IFERROR(NF($E45,"U_PODATE"),"-")</t>
  </si>
  <si>
    <t>=IFERROR(NF($E45,"U_PONO"),"-")</t>
  </si>
  <si>
    <t>=IF(M46="","Hide","Show")</t>
  </si>
  <si>
    <t>=IFERROR(NF($E46,"DOCNUM"),"-")</t>
  </si>
  <si>
    <t>=IFERROR(NF($E46,"DOCDATE"),"-")</t>
  </si>
  <si>
    <t>=IFERROR(NF($E46,"U_MSENR"),"-")</t>
  </si>
  <si>
    <t>=IFERROR(NF($E46,"CARDCODE"),"-")</t>
  </si>
  <si>
    <t>=IFERROR(NF($E46,"CARDNAME"),"-")</t>
  </si>
  <si>
    <t>=IFERROR(NF($E46,"ITEMCODE"),"-")</t>
  </si>
  <si>
    <t>=IFERROR(NF($E46,"U_CUSTREF"),"-")</t>
  </si>
  <si>
    <t>=IFERROR(NF($E46,"ITEMNAME"),"-")</t>
  </si>
  <si>
    <t>=IFERROR(NF($E46,"MEMO"),"-")</t>
  </si>
  <si>
    <t>=IFERROR(NF($E46,"QUANTITY"),"-")</t>
  </si>
  <si>
    <t>=IFERROR(NF($E46,"CONTACTNAME"),"-")</t>
  </si>
  <si>
    <t>=IFERROR(AD46/AA46,0)</t>
  </si>
  <si>
    <t>=IFERROR(NF($E46,"LINETOTAL"),"-")</t>
  </si>
  <si>
    <t>=IFERROR(NF($E46,"U_PODATE"),"-")</t>
  </si>
  <si>
    <t>=IFERROR(NF($E46,"U_PONO"),"-")</t>
  </si>
  <si>
    <t>=SUBTOTAL(9,AO24:AO47)</t>
  </si>
  <si>
    <t>=SUBTOTAL(9,AP24:AP47)</t>
  </si>
  <si>
    <t>SA Renewal</t>
  </si>
  <si>
    <t>01.07.2024</t>
  </si>
  <si>
    <t>30.06.2025</t>
  </si>
  <si>
    <t>PO RECEIVED ON 17/2/2023 FOR 3 YEARS</t>
  </si>
  <si>
    <t>License with SA</t>
  </si>
  <si>
    <t>PO RECEIVED ON 2/10/2023 FOR 3 YEARS</t>
  </si>
  <si>
    <t>PO RECEIVED ON 26/2/2024 FOR 3 YEARS</t>
  </si>
  <si>
    <t>PO RECEIVED ON 28/3/2024 FOR 3 YEARS</t>
  </si>
  <si>
    <t>01.08.2024</t>
  </si>
  <si>
    <t>30.07.2027</t>
  </si>
  <si>
    <t>31.12.2026</t>
  </si>
  <si>
    <t>NIL</t>
  </si>
  <si>
    <t>PERPETUAL LICENSE</t>
  </si>
  <si>
    <t>PO RECEIVED ON 27/6/2022 FOR 3 YEARS</t>
  </si>
  <si>
    <t>UIC PO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</si>
</sst>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b/>
      <i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65" fontId="11" fillId="3" borderId="0" xfId="2" applyNumberFormat="1" applyFont="1" applyFill="1" applyAlignment="1">
      <alignment horizontal="left" vertical="center"/>
    </xf>
    <xf numFmtId="1" fontId="0" fillId="0" borderId="0" xfId="0" applyNumberFormat="1" applyAlignment="1">
      <alignment horizontal="center" vertical="top"/>
    </xf>
    <xf numFmtId="1" fontId="0" fillId="6" borderId="0" xfId="0" applyNumberFormat="1" applyFill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167" fontId="0" fillId="0" borderId="0" xfId="0" applyNumberFormat="1" applyAlignment="1">
      <alignment horizontal="center" vertical="top"/>
    </xf>
    <xf numFmtId="40" fontId="13" fillId="3" borderId="0" xfId="0" applyNumberFormat="1" applyFont="1" applyFill="1" applyAlignment="1">
      <alignment horizontal="center" vertical="center"/>
    </xf>
    <xf numFmtId="0" fontId="14" fillId="0" borderId="0" xfId="0" applyFont="1" applyAlignment="1">
      <alignment vertical="top"/>
    </xf>
    <xf numFmtId="0" fontId="11" fillId="3" borderId="0" xfId="0" applyFont="1" applyFill="1" applyAlignment="1">
      <alignment horizontal="left" vertical="center" wrapText="1"/>
    </xf>
    <xf numFmtId="167" fontId="15" fillId="0" borderId="0" xfId="0" applyNumberFormat="1" applyFont="1" applyAlignment="1">
      <alignment vertical="top"/>
    </xf>
    <xf numFmtId="0" fontId="0" fillId="0" borderId="0" xfId="0" quotePrefix="1"/>
    <xf numFmtId="0" fontId="16" fillId="0" borderId="0" xfId="0" applyFont="1"/>
    <xf numFmtId="14" fontId="0" fillId="0" borderId="0" xfId="0" applyNumberFormat="1" applyAlignment="1">
      <alignment horizontal="center" vertical="top"/>
    </xf>
    <xf numFmtId="0" fontId="17" fillId="0" borderId="0" xfId="0" applyFont="1" applyAlignment="1">
      <alignment vertical="top"/>
    </xf>
    <xf numFmtId="0" fontId="8" fillId="0" borderId="0" xfId="1" applyFont="1" applyAlignment="1">
      <alignment horizontal="center" vertical="top"/>
    </xf>
    <xf numFmtId="0" fontId="0" fillId="6" borderId="0" xfId="0" applyFill="1" applyAlignment="1">
      <alignment horizontal="left" vertical="top"/>
    </xf>
    <xf numFmtId="0" fontId="4" fillId="0" borderId="0" xfId="1" applyFont="1" applyAlignment="1">
      <alignment horizontal="left" vertical="top"/>
    </xf>
    <xf numFmtId="14" fontId="0" fillId="0" borderId="0" xfId="0" applyNumberFormat="1" applyAlignment="1">
      <alignment horizontal="left" vertical="center"/>
    </xf>
    <xf numFmtId="0" fontId="0" fillId="8" borderId="0" xfId="0" applyFill="1" applyAlignment="1">
      <alignment vertical="top"/>
    </xf>
    <xf numFmtId="0" fontId="0" fillId="8" borderId="0" xfId="0" applyFill="1" applyAlignment="1">
      <alignment vertical="top" wrapText="1"/>
    </xf>
    <xf numFmtId="166" fontId="0" fillId="8" borderId="0" xfId="0" applyNumberFormat="1" applyFill="1" applyAlignment="1">
      <alignment horizontal="center" vertical="top"/>
    </xf>
    <xf numFmtId="14" fontId="0" fillId="8" borderId="0" xfId="0" applyNumberFormat="1" applyFill="1" applyAlignment="1">
      <alignment horizontal="center" vertical="center"/>
    </xf>
    <xf numFmtId="0" fontId="0" fillId="8" borderId="0" xfId="0" applyFill="1" applyAlignment="1">
      <alignment horizontal="center" vertical="center" wrapText="1"/>
    </xf>
    <xf numFmtId="0" fontId="14" fillId="8" borderId="0" xfId="0" applyFont="1" applyFill="1" applyAlignment="1">
      <alignment vertical="top"/>
    </xf>
    <xf numFmtId="1" fontId="0" fillId="8" borderId="0" xfId="0" applyNumberFormat="1" applyFill="1" applyAlignment="1">
      <alignment horizontal="center" vertical="top"/>
    </xf>
    <xf numFmtId="40" fontId="0" fillId="8" borderId="0" xfId="2" applyNumberFormat="1" applyFont="1" applyFill="1" applyAlignment="1">
      <alignment vertical="top"/>
    </xf>
    <xf numFmtId="167" fontId="0" fillId="8" borderId="0" xfId="0" applyNumberFormat="1" applyFill="1" applyAlignment="1">
      <alignment horizontal="center" vertical="top"/>
    </xf>
    <xf numFmtId="167" fontId="15" fillId="8" borderId="0" xfId="0" applyNumberFormat="1" applyFont="1" applyFill="1" applyAlignment="1">
      <alignment vertical="top"/>
    </xf>
    <xf numFmtId="167" fontId="0" fillId="8" borderId="0" xfId="0" applyNumberFormat="1" applyFill="1" applyAlignment="1">
      <alignment vertical="top"/>
    </xf>
    <xf numFmtId="0" fontId="0" fillId="8" borderId="0" xfId="0" applyFill="1" applyAlignment="1">
      <alignment horizontal="left" vertical="top"/>
    </xf>
    <xf numFmtId="167" fontId="11" fillId="3" borderId="0" xfId="0" applyNumberFormat="1" applyFont="1" applyFill="1" applyAlignment="1">
      <alignment horizontal="left" vertical="center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B2" zoomScale="112" zoomScaleNormal="112" workbookViewId="0">
      <selection activeCell="D13" sqref="D13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7" s="1" customFormat="1" hidden="1">
      <c r="A1" s="1" t="s">
        <v>137</v>
      </c>
      <c r="B1" s="1" t="s">
        <v>1</v>
      </c>
      <c r="C1" s="2" t="s">
        <v>2</v>
      </c>
      <c r="D1" s="1" t="s">
        <v>3</v>
      </c>
    </row>
    <row r="2" spans="1:7">
      <c r="B2" s="4" t="s">
        <v>19</v>
      </c>
      <c r="C2" s="4" t="s">
        <v>4</v>
      </c>
    </row>
    <row r="3" spans="1:7">
      <c r="A3" s="1" t="s">
        <v>0</v>
      </c>
      <c r="B3" s="4" t="s">
        <v>5</v>
      </c>
      <c r="C3" s="5" t="str">
        <f>"01/07/2024"</f>
        <v>01/07/2024</v>
      </c>
    </row>
    <row r="4" spans="1:7">
      <c r="A4" s="1" t="s">
        <v>0</v>
      </c>
      <c r="B4" s="4" t="s">
        <v>6</v>
      </c>
      <c r="C4" s="5" t="str">
        <f>"31/07/2024"</f>
        <v>31/07/2024</v>
      </c>
    </row>
    <row r="5" spans="1:7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7">
      <c r="A8" s="1" t="s">
        <v>8</v>
      </c>
      <c r="C8" s="3" t="str">
        <f>TEXT($C$3,"dd/MMM/yyyy") &amp; ".." &amp; TEXT($C$4,"dd/MMM/yyyy")</f>
        <v>01/Jul/2024..31/Jul/2024</v>
      </c>
    </row>
    <row r="9" spans="1:7">
      <c r="A9" s="1" t="s">
        <v>9</v>
      </c>
      <c r="C9" s="3" t="str">
        <f>TEXT($C$3,"yyyyMMdd") &amp; ".." &amp; TEXT($C$4,"yyyyMMdd")</f>
        <v>20240701..20240731</v>
      </c>
    </row>
    <row r="10" spans="1:7">
      <c r="B10" s="4" t="s">
        <v>42</v>
      </c>
      <c r="C10" s="6" t="str">
        <f>"'S7138270'"</f>
        <v>'S7138270'</v>
      </c>
    </row>
    <row r="11" spans="1:7">
      <c r="B11" s="4" t="s">
        <v>39</v>
      </c>
      <c r="C11" s="6" t="str">
        <f>"'S7138270'"</f>
        <v>'S7138270'</v>
      </c>
    </row>
    <row r="12" spans="1:7">
      <c r="B12" s="4" t="s">
        <v>43</v>
      </c>
      <c r="C12" s="6" t="str">
        <f>"'MS'"</f>
        <v>'MS'</v>
      </c>
    </row>
    <row r="13" spans="1:7">
      <c r="B13" s="4" t="s">
        <v>44</v>
      </c>
      <c r="C13" s="4" t="str">
        <f>$D$13</f>
        <v>'CM0159-SGD','CZ0023-SGD','CA0216-SGD','CA0061-SGD','CM0315-SGD','CS0312-SGD','CI0099-SGD'</v>
      </c>
      <c r="D13" s="6" t="str">
        <f>"'CM0159-SGD','CZ0023-SGD','CA0216-SGD','CA0061-SGD','CM0315-SGD','CS0312-SGD','CI0099-SGD'"</f>
        <v>'CM0159-SGD','CZ0023-SGD','CA0216-SGD','CA0061-SGD','CM0315-SGD','CS0312-SGD','CI0099-SGD'</v>
      </c>
    </row>
    <row r="14" spans="1:7">
      <c r="F14" s="16"/>
    </row>
    <row r="15" spans="1:7">
      <c r="G15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EDFFD-459E-47B3-8E66-6A348CE5F1A9}">
  <dimension ref="A1:AV48"/>
  <sheetViews>
    <sheetView workbookViewId="0"/>
  </sheetViews>
  <sheetFormatPr defaultRowHeight="15"/>
  <sheetData>
    <row r="1" spans="1:48">
      <c r="A1" s="68" t="s">
        <v>150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A25" s="68" t="s">
        <v>136</v>
      </c>
      <c r="B25" s="68" t="s">
        <v>127</v>
      </c>
      <c r="C25" s="68" t="s">
        <v>48</v>
      </c>
      <c r="E25" s="68" t="s">
        <v>276</v>
      </c>
      <c r="K25" s="68" t="s">
        <v>140</v>
      </c>
      <c r="L25" s="68" t="s">
        <v>141</v>
      </c>
      <c r="M25" s="68" t="s">
        <v>173</v>
      </c>
      <c r="N25" s="68" t="s">
        <v>174</v>
      </c>
      <c r="O25" s="68" t="s">
        <v>175</v>
      </c>
      <c r="P25" s="68" t="s">
        <v>176</v>
      </c>
      <c r="Q25" s="68" t="s">
        <v>177</v>
      </c>
      <c r="R25" s="68" t="s">
        <v>178</v>
      </c>
      <c r="S25" s="68" t="s">
        <v>271</v>
      </c>
      <c r="T25" s="68" t="s">
        <v>180</v>
      </c>
      <c r="U25" s="68" t="s">
        <v>181</v>
      </c>
      <c r="V25" s="68" t="s">
        <v>182</v>
      </c>
      <c r="W25" s="68" t="s">
        <v>142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E25" s="68" t="s">
        <v>189</v>
      </c>
      <c r="AF25" s="68" t="s">
        <v>188</v>
      </c>
      <c r="AG25" s="68" t="s">
        <v>95</v>
      </c>
      <c r="AH25" s="68" t="s">
        <v>190</v>
      </c>
      <c r="AJ25" s="68" t="s">
        <v>96</v>
      </c>
      <c r="AK25" s="68" t="s">
        <v>183</v>
      </c>
      <c r="AL25" s="68" t="s">
        <v>184</v>
      </c>
      <c r="AM25" s="68" t="s">
        <v>191</v>
      </c>
      <c r="AN25" s="68" t="s">
        <v>192</v>
      </c>
      <c r="AO25" s="68" t="s">
        <v>193</v>
      </c>
      <c r="AP25" s="68" t="s">
        <v>194</v>
      </c>
    </row>
    <row r="26" spans="1:42">
      <c r="A26" s="68" t="s">
        <v>136</v>
      </c>
      <c r="B26" s="68" t="s">
        <v>130</v>
      </c>
      <c r="C26" s="68" t="s">
        <v>48</v>
      </c>
      <c r="E26" s="68" t="s">
        <v>277</v>
      </c>
      <c r="K26" s="68" t="s">
        <v>143</v>
      </c>
      <c r="L26" s="68" t="s">
        <v>144</v>
      </c>
      <c r="M26" s="68" t="s">
        <v>195</v>
      </c>
      <c r="N26" s="68" t="s">
        <v>196</v>
      </c>
      <c r="O26" s="68" t="s">
        <v>197</v>
      </c>
      <c r="P26" s="68" t="s">
        <v>198</v>
      </c>
      <c r="Q26" s="68" t="s">
        <v>199</v>
      </c>
      <c r="R26" s="68" t="s">
        <v>200</v>
      </c>
      <c r="S26" s="68" t="s">
        <v>272</v>
      </c>
      <c r="T26" s="68" t="s">
        <v>202</v>
      </c>
      <c r="U26" s="68" t="s">
        <v>203</v>
      </c>
      <c r="V26" s="68" t="s">
        <v>204</v>
      </c>
      <c r="W26" s="68" t="s">
        <v>145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E26" s="68" t="s">
        <v>211</v>
      </c>
      <c r="AF26" s="68" t="s">
        <v>210</v>
      </c>
      <c r="AG26" s="68" t="s">
        <v>95</v>
      </c>
      <c r="AH26" s="68" t="s">
        <v>212</v>
      </c>
      <c r="AJ26" s="68" t="s">
        <v>96</v>
      </c>
      <c r="AK26" s="68" t="s">
        <v>205</v>
      </c>
      <c r="AL26" s="68" t="s">
        <v>206</v>
      </c>
      <c r="AM26" s="68" t="s">
        <v>213</v>
      </c>
      <c r="AN26" s="68" t="s">
        <v>214</v>
      </c>
      <c r="AO26" s="68" t="s">
        <v>215</v>
      </c>
      <c r="AP26" s="68" t="s">
        <v>216</v>
      </c>
    </row>
    <row r="27" spans="1:42">
      <c r="A27" s="68" t="s">
        <v>136</v>
      </c>
      <c r="B27" s="68" t="s">
        <v>146</v>
      </c>
      <c r="C27" s="68" t="s">
        <v>48</v>
      </c>
      <c r="E27" s="68" t="s">
        <v>278</v>
      </c>
      <c r="K27" s="68" t="s">
        <v>217</v>
      </c>
      <c r="L27" s="68" t="s">
        <v>218</v>
      </c>
      <c r="M27" s="68" t="s">
        <v>219</v>
      </c>
      <c r="N27" s="68" t="s">
        <v>220</v>
      </c>
      <c r="O27" s="68" t="s">
        <v>221</v>
      </c>
      <c r="P27" s="68" t="s">
        <v>222</v>
      </c>
      <c r="Q27" s="68" t="s">
        <v>223</v>
      </c>
      <c r="R27" s="68" t="s">
        <v>224</v>
      </c>
      <c r="S27" s="68" t="s">
        <v>273</v>
      </c>
      <c r="T27" s="68" t="s">
        <v>225</v>
      </c>
      <c r="U27" s="68" t="s">
        <v>226</v>
      </c>
      <c r="V27" s="68" t="s">
        <v>227</v>
      </c>
      <c r="W27" s="68" t="s">
        <v>228</v>
      </c>
      <c r="X27" s="68" t="s">
        <v>229</v>
      </c>
      <c r="Y27" s="68" t="s">
        <v>230</v>
      </c>
      <c r="Z27" s="68" t="s">
        <v>231</v>
      </c>
      <c r="AA27" s="68" t="s">
        <v>232</v>
      </c>
      <c r="AB27" s="68" t="s">
        <v>233</v>
      </c>
      <c r="AC27" s="68" t="s">
        <v>147</v>
      </c>
      <c r="AD27" s="68" t="s">
        <v>234</v>
      </c>
      <c r="AE27" s="68" t="s">
        <v>235</v>
      </c>
      <c r="AF27" s="68" t="s">
        <v>234</v>
      </c>
      <c r="AG27" s="68" t="s">
        <v>95</v>
      </c>
      <c r="AH27" s="68" t="s">
        <v>236</v>
      </c>
      <c r="AJ27" s="68" t="s">
        <v>96</v>
      </c>
      <c r="AK27" s="68" t="s">
        <v>229</v>
      </c>
      <c r="AL27" s="68" t="s">
        <v>230</v>
      </c>
      <c r="AM27" s="68" t="s">
        <v>237</v>
      </c>
      <c r="AN27" s="68" t="s">
        <v>238</v>
      </c>
      <c r="AO27" s="68" t="s">
        <v>239</v>
      </c>
      <c r="AP27" s="68" t="s">
        <v>240</v>
      </c>
    </row>
    <row r="28" spans="1:42">
      <c r="A28" s="68" t="s">
        <v>136</v>
      </c>
      <c r="B28" s="68" t="s">
        <v>148</v>
      </c>
      <c r="C28" s="68" t="s">
        <v>48</v>
      </c>
      <c r="E28" s="68" t="s">
        <v>279</v>
      </c>
      <c r="K28" s="68" t="s">
        <v>280</v>
      </c>
      <c r="L28" s="68" t="s">
        <v>281</v>
      </c>
      <c r="M28" s="68" t="s">
        <v>241</v>
      </c>
      <c r="N28" s="68" t="s">
        <v>242</v>
      </c>
      <c r="O28" s="68" t="s">
        <v>243</v>
      </c>
      <c r="P28" s="68" t="s">
        <v>282</v>
      </c>
      <c r="Q28" s="68" t="s">
        <v>244</v>
      </c>
      <c r="R28" s="68" t="s">
        <v>245</v>
      </c>
      <c r="S28" s="68" t="s">
        <v>283</v>
      </c>
      <c r="T28" s="68" t="s">
        <v>284</v>
      </c>
      <c r="U28" s="68" t="s">
        <v>285</v>
      </c>
      <c r="V28" s="68" t="s">
        <v>286</v>
      </c>
      <c r="W28" s="68" t="s">
        <v>287</v>
      </c>
      <c r="X28" s="68" t="s">
        <v>246</v>
      </c>
      <c r="Y28" s="68" t="s">
        <v>247</v>
      </c>
      <c r="Z28" s="68" t="s">
        <v>248</v>
      </c>
      <c r="AA28" s="68" t="s">
        <v>249</v>
      </c>
      <c r="AB28" s="68" t="s">
        <v>250</v>
      </c>
      <c r="AC28" s="68" t="s">
        <v>149</v>
      </c>
      <c r="AD28" s="68" t="s">
        <v>251</v>
      </c>
      <c r="AE28" s="68" t="s">
        <v>288</v>
      </c>
      <c r="AF28" s="68" t="s">
        <v>251</v>
      </c>
      <c r="AG28" s="68" t="s">
        <v>95</v>
      </c>
      <c r="AH28" s="68" t="s">
        <v>252</v>
      </c>
      <c r="AJ28" s="68" t="s">
        <v>96</v>
      </c>
      <c r="AK28" s="68" t="s">
        <v>246</v>
      </c>
      <c r="AL28" s="68" t="s">
        <v>247</v>
      </c>
      <c r="AM28" s="68" t="s">
        <v>289</v>
      </c>
      <c r="AN28" s="68" t="s">
        <v>290</v>
      </c>
      <c r="AO28" s="68" t="s">
        <v>291</v>
      </c>
      <c r="AP28" s="68" t="s">
        <v>292</v>
      </c>
    </row>
    <row r="29" spans="1:42">
      <c r="A29" s="68" t="s">
        <v>136</v>
      </c>
      <c r="B29" s="68" t="s">
        <v>253</v>
      </c>
      <c r="C29" s="68" t="s">
        <v>48</v>
      </c>
      <c r="E29" s="68" t="s">
        <v>293</v>
      </c>
      <c r="K29" s="68" t="s">
        <v>294</v>
      </c>
      <c r="L29" s="68" t="s">
        <v>295</v>
      </c>
      <c r="M29" s="68" t="s">
        <v>254</v>
      </c>
      <c r="N29" s="68" t="s">
        <v>255</v>
      </c>
      <c r="O29" s="68" t="s">
        <v>256</v>
      </c>
      <c r="P29" s="68" t="s">
        <v>296</v>
      </c>
      <c r="Q29" s="68" t="s">
        <v>257</v>
      </c>
      <c r="R29" s="68" t="s">
        <v>258</v>
      </c>
      <c r="S29" s="68" t="s">
        <v>297</v>
      </c>
      <c r="T29" s="68" t="s">
        <v>298</v>
      </c>
      <c r="U29" s="68" t="s">
        <v>299</v>
      </c>
      <c r="V29" s="68" t="s">
        <v>300</v>
      </c>
      <c r="W29" s="68" t="s">
        <v>301</v>
      </c>
      <c r="X29" s="68" t="s">
        <v>259</v>
      </c>
      <c r="Y29" s="68" t="s">
        <v>260</v>
      </c>
      <c r="Z29" s="68" t="s">
        <v>261</v>
      </c>
      <c r="AA29" s="68" t="s">
        <v>262</v>
      </c>
      <c r="AB29" s="68" t="s">
        <v>263</v>
      </c>
      <c r="AC29" s="68" t="s">
        <v>264</v>
      </c>
      <c r="AD29" s="68" t="s">
        <v>265</v>
      </c>
      <c r="AE29" s="68" t="s">
        <v>302</v>
      </c>
      <c r="AF29" s="68" t="s">
        <v>265</v>
      </c>
      <c r="AG29" s="68" t="s">
        <v>95</v>
      </c>
      <c r="AH29" s="68" t="s">
        <v>303</v>
      </c>
      <c r="AJ29" s="68" t="s">
        <v>96</v>
      </c>
      <c r="AK29" s="68" t="s">
        <v>259</v>
      </c>
      <c r="AL29" s="68" t="s">
        <v>260</v>
      </c>
      <c r="AM29" s="68" t="s">
        <v>304</v>
      </c>
      <c r="AN29" s="68" t="s">
        <v>305</v>
      </c>
      <c r="AO29" s="68" t="s">
        <v>306</v>
      </c>
      <c r="AP29" s="68" t="s">
        <v>307</v>
      </c>
    </row>
    <row r="30" spans="1:42">
      <c r="A30" s="68" t="s">
        <v>136</v>
      </c>
      <c r="B30" s="68" t="s">
        <v>308</v>
      </c>
      <c r="C30" s="68" t="s">
        <v>48</v>
      </c>
      <c r="E30" s="68" t="s">
        <v>309</v>
      </c>
      <c r="K30" s="68" t="s">
        <v>310</v>
      </c>
      <c r="L30" s="68" t="s">
        <v>311</v>
      </c>
      <c r="M30" s="68" t="s">
        <v>312</v>
      </c>
      <c r="N30" s="68" t="s">
        <v>313</v>
      </c>
      <c r="O30" s="68" t="s">
        <v>314</v>
      </c>
      <c r="P30" s="68" t="s">
        <v>315</v>
      </c>
      <c r="Q30" s="68" t="s">
        <v>316</v>
      </c>
      <c r="R30" s="68" t="s">
        <v>317</v>
      </c>
      <c r="S30" s="68" t="s">
        <v>318</v>
      </c>
      <c r="T30" s="68" t="s">
        <v>319</v>
      </c>
      <c r="U30" s="68" t="s">
        <v>320</v>
      </c>
      <c r="V30" s="68" t="s">
        <v>321</v>
      </c>
      <c r="W30" s="68" t="s">
        <v>322</v>
      </c>
      <c r="X30" s="68" t="s">
        <v>323</v>
      </c>
      <c r="Y30" s="68" t="s">
        <v>324</v>
      </c>
      <c r="Z30" s="68" t="s">
        <v>325</v>
      </c>
      <c r="AA30" s="68" t="s">
        <v>326</v>
      </c>
      <c r="AB30" s="68" t="s">
        <v>327</v>
      </c>
      <c r="AC30" s="68" t="s">
        <v>328</v>
      </c>
      <c r="AD30" s="68" t="s">
        <v>329</v>
      </c>
      <c r="AE30" s="68" t="s">
        <v>330</v>
      </c>
      <c r="AF30" s="68" t="s">
        <v>329</v>
      </c>
      <c r="AG30" s="68" t="s">
        <v>95</v>
      </c>
      <c r="AH30" s="68" t="s">
        <v>331</v>
      </c>
      <c r="AJ30" s="68" t="s">
        <v>96</v>
      </c>
      <c r="AK30" s="68" t="s">
        <v>323</v>
      </c>
      <c r="AL30" s="68" t="s">
        <v>324</v>
      </c>
      <c r="AM30" s="68" t="s">
        <v>332</v>
      </c>
      <c r="AN30" s="68" t="s">
        <v>333</v>
      </c>
      <c r="AO30" s="68" t="s">
        <v>334</v>
      </c>
      <c r="AP30" s="68" t="s">
        <v>335</v>
      </c>
    </row>
    <row r="31" spans="1:42">
      <c r="A31" s="68" t="s">
        <v>136</v>
      </c>
      <c r="B31" s="68" t="s">
        <v>336</v>
      </c>
      <c r="C31" s="68" t="s">
        <v>48</v>
      </c>
      <c r="E31" s="68" t="s">
        <v>337</v>
      </c>
      <c r="K31" s="68" t="s">
        <v>338</v>
      </c>
      <c r="L31" s="68" t="s">
        <v>339</v>
      </c>
      <c r="M31" s="68" t="s">
        <v>340</v>
      </c>
      <c r="N31" s="68" t="s">
        <v>341</v>
      </c>
      <c r="O31" s="68" t="s">
        <v>342</v>
      </c>
      <c r="P31" s="68" t="s">
        <v>343</v>
      </c>
      <c r="Q31" s="68" t="s">
        <v>344</v>
      </c>
      <c r="R31" s="68" t="s">
        <v>345</v>
      </c>
      <c r="S31" s="68" t="s">
        <v>346</v>
      </c>
      <c r="T31" s="68" t="s">
        <v>347</v>
      </c>
      <c r="U31" s="68" t="s">
        <v>348</v>
      </c>
      <c r="V31" s="68" t="s">
        <v>349</v>
      </c>
      <c r="W31" s="68" t="s">
        <v>350</v>
      </c>
      <c r="X31" s="68" t="s">
        <v>351</v>
      </c>
      <c r="Y31" s="68" t="s">
        <v>352</v>
      </c>
      <c r="Z31" s="68" t="s">
        <v>353</v>
      </c>
      <c r="AA31" s="68" t="s">
        <v>354</v>
      </c>
      <c r="AB31" s="68" t="s">
        <v>355</v>
      </c>
      <c r="AC31" s="68" t="s">
        <v>356</v>
      </c>
      <c r="AD31" s="68" t="s">
        <v>357</v>
      </c>
      <c r="AE31" s="68" t="s">
        <v>358</v>
      </c>
      <c r="AF31" s="68" t="s">
        <v>357</v>
      </c>
      <c r="AG31" s="68" t="s">
        <v>95</v>
      </c>
      <c r="AH31" s="68" t="s">
        <v>359</v>
      </c>
      <c r="AJ31" s="68" t="s">
        <v>96</v>
      </c>
      <c r="AK31" s="68" t="s">
        <v>351</v>
      </c>
      <c r="AL31" s="68" t="s">
        <v>352</v>
      </c>
      <c r="AM31" s="68" t="s">
        <v>360</v>
      </c>
      <c r="AN31" s="68" t="s">
        <v>361</v>
      </c>
      <c r="AO31" s="68" t="s">
        <v>362</v>
      </c>
      <c r="AP31" s="68" t="s">
        <v>363</v>
      </c>
    </row>
    <row r="32" spans="1:42">
      <c r="A32" s="68" t="s">
        <v>136</v>
      </c>
      <c r="B32" s="68" t="s">
        <v>364</v>
      </c>
      <c r="C32" s="68" t="s">
        <v>48</v>
      </c>
      <c r="E32" s="68" t="s">
        <v>365</v>
      </c>
      <c r="K32" s="68" t="s">
        <v>366</v>
      </c>
      <c r="L32" s="68" t="s">
        <v>367</v>
      </c>
      <c r="M32" s="68" t="s">
        <v>368</v>
      </c>
      <c r="N32" s="68" t="s">
        <v>369</v>
      </c>
      <c r="O32" s="68" t="s">
        <v>370</v>
      </c>
      <c r="P32" s="68" t="s">
        <v>371</v>
      </c>
      <c r="Q32" s="68" t="s">
        <v>372</v>
      </c>
      <c r="R32" s="68" t="s">
        <v>373</v>
      </c>
      <c r="S32" s="68" t="s">
        <v>374</v>
      </c>
      <c r="T32" s="68" t="s">
        <v>375</v>
      </c>
      <c r="U32" s="68" t="s">
        <v>376</v>
      </c>
      <c r="V32" s="68" t="s">
        <v>377</v>
      </c>
      <c r="W32" s="68" t="s">
        <v>378</v>
      </c>
      <c r="X32" s="68" t="s">
        <v>379</v>
      </c>
      <c r="Y32" s="68" t="s">
        <v>380</v>
      </c>
      <c r="Z32" s="68" t="s">
        <v>381</v>
      </c>
      <c r="AA32" s="68" t="s">
        <v>382</v>
      </c>
      <c r="AB32" s="68" t="s">
        <v>383</v>
      </c>
      <c r="AC32" s="68" t="s">
        <v>384</v>
      </c>
      <c r="AD32" s="68" t="s">
        <v>385</v>
      </c>
      <c r="AE32" s="68" t="s">
        <v>386</v>
      </c>
      <c r="AF32" s="68" t="s">
        <v>385</v>
      </c>
      <c r="AG32" s="68" t="s">
        <v>95</v>
      </c>
      <c r="AH32" s="68" t="s">
        <v>387</v>
      </c>
      <c r="AJ32" s="68" t="s">
        <v>96</v>
      </c>
      <c r="AK32" s="68" t="s">
        <v>379</v>
      </c>
      <c r="AL32" s="68" t="s">
        <v>380</v>
      </c>
      <c r="AM32" s="68" t="s">
        <v>388</v>
      </c>
      <c r="AN32" s="68" t="s">
        <v>389</v>
      </c>
      <c r="AO32" s="68" t="s">
        <v>390</v>
      </c>
      <c r="AP32" s="68" t="s">
        <v>391</v>
      </c>
    </row>
    <row r="33" spans="1:42">
      <c r="A33" s="68" t="s">
        <v>136</v>
      </c>
      <c r="B33" s="68" t="s">
        <v>392</v>
      </c>
      <c r="C33" s="68" t="s">
        <v>48</v>
      </c>
      <c r="E33" s="68" t="s">
        <v>393</v>
      </c>
      <c r="K33" s="68" t="s">
        <v>394</v>
      </c>
      <c r="L33" s="68" t="s">
        <v>395</v>
      </c>
      <c r="M33" s="68" t="s">
        <v>396</v>
      </c>
      <c r="N33" s="68" t="s">
        <v>397</v>
      </c>
      <c r="O33" s="68" t="s">
        <v>398</v>
      </c>
      <c r="P33" s="68" t="s">
        <v>399</v>
      </c>
      <c r="Q33" s="68" t="s">
        <v>400</v>
      </c>
      <c r="R33" s="68" t="s">
        <v>401</v>
      </c>
      <c r="S33" s="68" t="s">
        <v>402</v>
      </c>
      <c r="T33" s="68" t="s">
        <v>403</v>
      </c>
      <c r="U33" s="68" t="s">
        <v>404</v>
      </c>
      <c r="V33" s="68" t="s">
        <v>405</v>
      </c>
      <c r="W33" s="68" t="s">
        <v>406</v>
      </c>
      <c r="X33" s="68" t="s">
        <v>407</v>
      </c>
      <c r="Y33" s="68" t="s">
        <v>408</v>
      </c>
      <c r="Z33" s="68" t="s">
        <v>409</v>
      </c>
      <c r="AA33" s="68" t="s">
        <v>410</v>
      </c>
      <c r="AB33" s="68" t="s">
        <v>411</v>
      </c>
      <c r="AC33" s="68" t="s">
        <v>412</v>
      </c>
      <c r="AD33" s="68" t="s">
        <v>413</v>
      </c>
      <c r="AE33" s="68" t="s">
        <v>414</v>
      </c>
      <c r="AF33" s="68" t="s">
        <v>413</v>
      </c>
      <c r="AG33" s="68" t="s">
        <v>95</v>
      </c>
      <c r="AH33" s="68" t="s">
        <v>415</v>
      </c>
      <c r="AJ33" s="68" t="s">
        <v>96</v>
      </c>
      <c r="AK33" s="68" t="s">
        <v>407</v>
      </c>
      <c r="AL33" s="68" t="s">
        <v>408</v>
      </c>
      <c r="AM33" s="68" t="s">
        <v>416</v>
      </c>
      <c r="AN33" s="68" t="s">
        <v>417</v>
      </c>
      <c r="AO33" s="68" t="s">
        <v>418</v>
      </c>
      <c r="AP33" s="68" t="s">
        <v>419</v>
      </c>
    </row>
    <row r="34" spans="1:42">
      <c r="A34" s="68" t="s">
        <v>136</v>
      </c>
      <c r="B34" s="68" t="s">
        <v>420</v>
      </c>
      <c r="C34" s="68" t="s">
        <v>48</v>
      </c>
      <c r="E34" s="68" t="s">
        <v>421</v>
      </c>
      <c r="K34" s="68" t="s">
        <v>422</v>
      </c>
      <c r="L34" s="68" t="s">
        <v>423</v>
      </c>
      <c r="M34" s="68" t="s">
        <v>424</v>
      </c>
      <c r="N34" s="68" t="s">
        <v>425</v>
      </c>
      <c r="O34" s="68" t="s">
        <v>426</v>
      </c>
      <c r="P34" s="68" t="s">
        <v>427</v>
      </c>
      <c r="Q34" s="68" t="s">
        <v>428</v>
      </c>
      <c r="R34" s="68" t="s">
        <v>429</v>
      </c>
      <c r="S34" s="68" t="s">
        <v>430</v>
      </c>
      <c r="T34" s="68" t="s">
        <v>431</v>
      </c>
      <c r="U34" s="68" t="s">
        <v>432</v>
      </c>
      <c r="V34" s="68" t="s">
        <v>433</v>
      </c>
      <c r="W34" s="68" t="s">
        <v>434</v>
      </c>
      <c r="X34" s="68" t="s">
        <v>435</v>
      </c>
      <c r="Y34" s="68" t="s">
        <v>436</v>
      </c>
      <c r="Z34" s="68" t="s">
        <v>437</v>
      </c>
      <c r="AA34" s="68" t="s">
        <v>438</v>
      </c>
      <c r="AB34" s="68" t="s">
        <v>439</v>
      </c>
      <c r="AC34" s="68" t="s">
        <v>440</v>
      </c>
      <c r="AD34" s="68" t="s">
        <v>441</v>
      </c>
      <c r="AE34" s="68" t="s">
        <v>442</v>
      </c>
      <c r="AF34" s="68" t="s">
        <v>441</v>
      </c>
      <c r="AG34" s="68" t="s">
        <v>95</v>
      </c>
      <c r="AH34" s="68" t="s">
        <v>443</v>
      </c>
      <c r="AJ34" s="68" t="s">
        <v>96</v>
      </c>
      <c r="AK34" s="68" t="s">
        <v>435</v>
      </c>
      <c r="AL34" s="68" t="s">
        <v>436</v>
      </c>
      <c r="AM34" s="68" t="s">
        <v>444</v>
      </c>
      <c r="AN34" s="68" t="s">
        <v>445</v>
      </c>
      <c r="AO34" s="68" t="s">
        <v>446</v>
      </c>
      <c r="AP34" s="68" t="s">
        <v>447</v>
      </c>
    </row>
    <row r="35" spans="1:42">
      <c r="A35" s="68" t="s">
        <v>136</v>
      </c>
      <c r="B35" s="68" t="s">
        <v>448</v>
      </c>
      <c r="C35" s="68" t="s">
        <v>48</v>
      </c>
      <c r="E35" s="68" t="s">
        <v>449</v>
      </c>
      <c r="K35" s="68" t="s">
        <v>450</v>
      </c>
      <c r="L35" s="68" t="s">
        <v>451</v>
      </c>
      <c r="M35" s="68" t="s">
        <v>452</v>
      </c>
      <c r="N35" s="68" t="s">
        <v>453</v>
      </c>
      <c r="O35" s="68" t="s">
        <v>454</v>
      </c>
      <c r="P35" s="68" t="s">
        <v>455</v>
      </c>
      <c r="Q35" s="68" t="s">
        <v>456</v>
      </c>
      <c r="R35" s="68" t="s">
        <v>457</v>
      </c>
      <c r="S35" s="68" t="s">
        <v>458</v>
      </c>
      <c r="T35" s="68" t="s">
        <v>459</v>
      </c>
      <c r="U35" s="68" t="s">
        <v>460</v>
      </c>
      <c r="V35" s="68" t="s">
        <v>461</v>
      </c>
      <c r="W35" s="68" t="s">
        <v>462</v>
      </c>
      <c r="X35" s="68" t="s">
        <v>463</v>
      </c>
      <c r="Y35" s="68" t="s">
        <v>464</v>
      </c>
      <c r="Z35" s="68" t="s">
        <v>465</v>
      </c>
      <c r="AA35" s="68" t="s">
        <v>466</v>
      </c>
      <c r="AB35" s="68" t="s">
        <v>467</v>
      </c>
      <c r="AC35" s="68" t="s">
        <v>468</v>
      </c>
      <c r="AD35" s="68" t="s">
        <v>469</v>
      </c>
      <c r="AE35" s="68" t="s">
        <v>470</v>
      </c>
      <c r="AF35" s="68" t="s">
        <v>469</v>
      </c>
      <c r="AG35" s="68" t="s">
        <v>95</v>
      </c>
      <c r="AH35" s="68" t="s">
        <v>471</v>
      </c>
      <c r="AJ35" s="68" t="s">
        <v>96</v>
      </c>
      <c r="AK35" s="68" t="s">
        <v>463</v>
      </c>
      <c r="AL35" s="68" t="s">
        <v>464</v>
      </c>
      <c r="AM35" s="68" t="s">
        <v>472</v>
      </c>
      <c r="AN35" s="68" t="s">
        <v>473</v>
      </c>
      <c r="AO35" s="68" t="s">
        <v>474</v>
      </c>
      <c r="AP35" s="68" t="s">
        <v>475</v>
      </c>
    </row>
    <row r="36" spans="1:42">
      <c r="A36" s="68" t="s">
        <v>136</v>
      </c>
      <c r="B36" s="68" t="s">
        <v>476</v>
      </c>
      <c r="C36" s="68" t="s">
        <v>48</v>
      </c>
      <c r="E36" s="68" t="s">
        <v>477</v>
      </c>
      <c r="K36" s="68" t="s">
        <v>478</v>
      </c>
      <c r="L36" s="68" t="s">
        <v>479</v>
      </c>
      <c r="M36" s="68" t="s">
        <v>480</v>
      </c>
      <c r="N36" s="68" t="s">
        <v>481</v>
      </c>
      <c r="O36" s="68" t="s">
        <v>482</v>
      </c>
      <c r="P36" s="68" t="s">
        <v>483</v>
      </c>
      <c r="Q36" s="68" t="s">
        <v>484</v>
      </c>
      <c r="R36" s="68" t="s">
        <v>485</v>
      </c>
      <c r="S36" s="68" t="s">
        <v>486</v>
      </c>
      <c r="T36" s="68" t="s">
        <v>487</v>
      </c>
      <c r="U36" s="68" t="s">
        <v>488</v>
      </c>
      <c r="V36" s="68" t="s">
        <v>489</v>
      </c>
      <c r="W36" s="68" t="s">
        <v>490</v>
      </c>
      <c r="X36" s="68" t="s">
        <v>491</v>
      </c>
      <c r="Y36" s="68" t="s">
        <v>492</v>
      </c>
      <c r="Z36" s="68" t="s">
        <v>493</v>
      </c>
      <c r="AA36" s="68" t="s">
        <v>494</v>
      </c>
      <c r="AB36" s="68" t="s">
        <v>495</v>
      </c>
      <c r="AC36" s="68" t="s">
        <v>496</v>
      </c>
      <c r="AD36" s="68" t="s">
        <v>497</v>
      </c>
      <c r="AE36" s="68" t="s">
        <v>498</v>
      </c>
      <c r="AF36" s="68" t="s">
        <v>497</v>
      </c>
      <c r="AG36" s="68" t="s">
        <v>95</v>
      </c>
      <c r="AH36" s="68" t="s">
        <v>499</v>
      </c>
      <c r="AJ36" s="68" t="s">
        <v>96</v>
      </c>
      <c r="AK36" s="68" t="s">
        <v>491</v>
      </c>
      <c r="AL36" s="68" t="s">
        <v>492</v>
      </c>
      <c r="AM36" s="68" t="s">
        <v>500</v>
      </c>
      <c r="AN36" s="68" t="s">
        <v>501</v>
      </c>
      <c r="AO36" s="68" t="s">
        <v>502</v>
      </c>
      <c r="AP36" s="68" t="s">
        <v>503</v>
      </c>
    </row>
    <row r="37" spans="1:42">
      <c r="A37" s="68" t="s">
        <v>136</v>
      </c>
      <c r="B37" s="68" t="s">
        <v>504</v>
      </c>
      <c r="C37" s="68" t="s">
        <v>48</v>
      </c>
      <c r="E37" s="68" t="s">
        <v>505</v>
      </c>
      <c r="K37" s="68" t="s">
        <v>506</v>
      </c>
      <c r="L37" s="68" t="s">
        <v>507</v>
      </c>
      <c r="M37" s="68" t="s">
        <v>508</v>
      </c>
      <c r="N37" s="68" t="s">
        <v>509</v>
      </c>
      <c r="O37" s="68" t="s">
        <v>510</v>
      </c>
      <c r="P37" s="68" t="s">
        <v>511</v>
      </c>
      <c r="Q37" s="68" t="s">
        <v>512</v>
      </c>
      <c r="R37" s="68" t="s">
        <v>513</v>
      </c>
      <c r="S37" s="68" t="s">
        <v>514</v>
      </c>
      <c r="T37" s="68" t="s">
        <v>515</v>
      </c>
      <c r="U37" s="68" t="s">
        <v>516</v>
      </c>
      <c r="V37" s="68" t="s">
        <v>517</v>
      </c>
      <c r="W37" s="68" t="s">
        <v>518</v>
      </c>
      <c r="X37" s="68" t="s">
        <v>519</v>
      </c>
      <c r="Y37" s="68" t="s">
        <v>520</v>
      </c>
      <c r="Z37" s="68" t="s">
        <v>521</v>
      </c>
      <c r="AA37" s="68" t="s">
        <v>522</v>
      </c>
      <c r="AB37" s="68" t="s">
        <v>523</v>
      </c>
      <c r="AC37" s="68" t="s">
        <v>524</v>
      </c>
      <c r="AD37" s="68" t="s">
        <v>525</v>
      </c>
      <c r="AE37" s="68" t="s">
        <v>526</v>
      </c>
      <c r="AF37" s="68" t="s">
        <v>525</v>
      </c>
      <c r="AG37" s="68" t="s">
        <v>95</v>
      </c>
      <c r="AH37" s="68" t="s">
        <v>527</v>
      </c>
      <c r="AJ37" s="68" t="s">
        <v>96</v>
      </c>
      <c r="AK37" s="68" t="s">
        <v>519</v>
      </c>
      <c r="AL37" s="68" t="s">
        <v>520</v>
      </c>
      <c r="AM37" s="68" t="s">
        <v>528</v>
      </c>
      <c r="AN37" s="68" t="s">
        <v>529</v>
      </c>
      <c r="AO37" s="68" t="s">
        <v>530</v>
      </c>
      <c r="AP37" s="68" t="s">
        <v>531</v>
      </c>
    </row>
    <row r="38" spans="1:42">
      <c r="A38" s="68" t="s">
        <v>136</v>
      </c>
      <c r="B38" s="68" t="s">
        <v>532</v>
      </c>
      <c r="C38" s="68" t="s">
        <v>48</v>
      </c>
      <c r="E38" s="68" t="s">
        <v>533</v>
      </c>
      <c r="K38" s="68" t="s">
        <v>534</v>
      </c>
      <c r="L38" s="68" t="s">
        <v>535</v>
      </c>
      <c r="M38" s="68" t="s">
        <v>536</v>
      </c>
      <c r="N38" s="68" t="s">
        <v>537</v>
      </c>
      <c r="O38" s="68" t="s">
        <v>538</v>
      </c>
      <c r="P38" s="68" t="s">
        <v>539</v>
      </c>
      <c r="Q38" s="68" t="s">
        <v>540</v>
      </c>
      <c r="R38" s="68" t="s">
        <v>541</v>
      </c>
      <c r="S38" s="68" t="s">
        <v>542</v>
      </c>
      <c r="T38" s="68" t="s">
        <v>543</v>
      </c>
      <c r="U38" s="68" t="s">
        <v>544</v>
      </c>
      <c r="V38" s="68" t="s">
        <v>545</v>
      </c>
      <c r="W38" s="68" t="s">
        <v>546</v>
      </c>
      <c r="X38" s="68" t="s">
        <v>547</v>
      </c>
      <c r="Y38" s="68" t="s">
        <v>548</v>
      </c>
      <c r="Z38" s="68" t="s">
        <v>549</v>
      </c>
      <c r="AA38" s="68" t="s">
        <v>550</v>
      </c>
      <c r="AB38" s="68" t="s">
        <v>551</v>
      </c>
      <c r="AC38" s="68" t="s">
        <v>552</v>
      </c>
      <c r="AD38" s="68" t="s">
        <v>553</v>
      </c>
      <c r="AE38" s="68" t="s">
        <v>554</v>
      </c>
      <c r="AF38" s="68" t="s">
        <v>553</v>
      </c>
      <c r="AG38" s="68" t="s">
        <v>95</v>
      </c>
      <c r="AH38" s="68" t="s">
        <v>555</v>
      </c>
      <c r="AJ38" s="68" t="s">
        <v>96</v>
      </c>
      <c r="AK38" s="68" t="s">
        <v>547</v>
      </c>
      <c r="AL38" s="68" t="s">
        <v>548</v>
      </c>
      <c r="AM38" s="68" t="s">
        <v>556</v>
      </c>
      <c r="AN38" s="68" t="s">
        <v>557</v>
      </c>
      <c r="AO38" s="68" t="s">
        <v>558</v>
      </c>
      <c r="AP38" s="68" t="s">
        <v>559</v>
      </c>
    </row>
    <row r="39" spans="1:42">
      <c r="A39" s="68" t="s">
        <v>136</v>
      </c>
      <c r="B39" s="68" t="s">
        <v>560</v>
      </c>
      <c r="C39" s="68" t="s">
        <v>48</v>
      </c>
      <c r="E39" s="68" t="s">
        <v>561</v>
      </c>
      <c r="K39" s="68" t="s">
        <v>562</v>
      </c>
      <c r="L39" s="68" t="s">
        <v>563</v>
      </c>
      <c r="M39" s="68" t="s">
        <v>564</v>
      </c>
      <c r="N39" s="68" t="s">
        <v>565</v>
      </c>
      <c r="O39" s="68" t="s">
        <v>566</v>
      </c>
      <c r="P39" s="68" t="s">
        <v>567</v>
      </c>
      <c r="Q39" s="68" t="s">
        <v>568</v>
      </c>
      <c r="R39" s="68" t="s">
        <v>569</v>
      </c>
      <c r="S39" s="68" t="s">
        <v>570</v>
      </c>
      <c r="T39" s="68" t="s">
        <v>571</v>
      </c>
      <c r="U39" s="68" t="s">
        <v>572</v>
      </c>
      <c r="V39" s="68" t="s">
        <v>573</v>
      </c>
      <c r="W39" s="68" t="s">
        <v>574</v>
      </c>
      <c r="X39" s="68" t="s">
        <v>575</v>
      </c>
      <c r="Y39" s="68" t="s">
        <v>576</v>
      </c>
      <c r="Z39" s="68" t="s">
        <v>577</v>
      </c>
      <c r="AA39" s="68" t="s">
        <v>578</v>
      </c>
      <c r="AB39" s="68" t="s">
        <v>579</v>
      </c>
      <c r="AC39" s="68" t="s">
        <v>580</v>
      </c>
      <c r="AD39" s="68" t="s">
        <v>581</v>
      </c>
      <c r="AE39" s="68" t="s">
        <v>582</v>
      </c>
      <c r="AF39" s="68" t="s">
        <v>581</v>
      </c>
      <c r="AG39" s="68" t="s">
        <v>95</v>
      </c>
      <c r="AH39" s="68" t="s">
        <v>583</v>
      </c>
      <c r="AJ39" s="68" t="s">
        <v>96</v>
      </c>
      <c r="AK39" s="68" t="s">
        <v>575</v>
      </c>
      <c r="AL39" s="68" t="s">
        <v>576</v>
      </c>
      <c r="AM39" s="68" t="s">
        <v>584</v>
      </c>
      <c r="AN39" s="68" t="s">
        <v>585</v>
      </c>
      <c r="AO39" s="68" t="s">
        <v>586</v>
      </c>
      <c r="AP39" s="68" t="s">
        <v>587</v>
      </c>
    </row>
    <row r="40" spans="1:42">
      <c r="A40" s="68" t="s">
        <v>136</v>
      </c>
      <c r="B40" s="68" t="s">
        <v>588</v>
      </c>
      <c r="C40" s="68" t="s">
        <v>48</v>
      </c>
      <c r="E40" s="68" t="s">
        <v>589</v>
      </c>
      <c r="K40" s="68" t="s">
        <v>590</v>
      </c>
      <c r="L40" s="68" t="s">
        <v>591</v>
      </c>
      <c r="M40" s="68" t="s">
        <v>592</v>
      </c>
      <c r="N40" s="68" t="s">
        <v>593</v>
      </c>
      <c r="O40" s="68" t="s">
        <v>594</v>
      </c>
      <c r="P40" s="68" t="s">
        <v>595</v>
      </c>
      <c r="Q40" s="68" t="s">
        <v>596</v>
      </c>
      <c r="R40" s="68" t="s">
        <v>597</v>
      </c>
      <c r="S40" s="68" t="s">
        <v>598</v>
      </c>
      <c r="T40" s="68" t="s">
        <v>599</v>
      </c>
      <c r="U40" s="68" t="s">
        <v>600</v>
      </c>
      <c r="V40" s="68" t="s">
        <v>601</v>
      </c>
      <c r="W40" s="68" t="s">
        <v>602</v>
      </c>
      <c r="X40" s="68" t="s">
        <v>603</v>
      </c>
      <c r="Y40" s="68" t="s">
        <v>604</v>
      </c>
      <c r="Z40" s="68" t="s">
        <v>605</v>
      </c>
      <c r="AA40" s="68" t="s">
        <v>606</v>
      </c>
      <c r="AB40" s="68" t="s">
        <v>607</v>
      </c>
      <c r="AC40" s="68" t="s">
        <v>608</v>
      </c>
      <c r="AD40" s="68" t="s">
        <v>609</v>
      </c>
      <c r="AE40" s="68" t="s">
        <v>610</v>
      </c>
      <c r="AF40" s="68" t="s">
        <v>609</v>
      </c>
      <c r="AG40" s="68" t="s">
        <v>95</v>
      </c>
      <c r="AH40" s="68" t="s">
        <v>611</v>
      </c>
      <c r="AJ40" s="68" t="s">
        <v>96</v>
      </c>
      <c r="AK40" s="68" t="s">
        <v>603</v>
      </c>
      <c r="AL40" s="68" t="s">
        <v>604</v>
      </c>
      <c r="AM40" s="68" t="s">
        <v>612</v>
      </c>
      <c r="AN40" s="68" t="s">
        <v>613</v>
      </c>
      <c r="AO40" s="68" t="s">
        <v>614</v>
      </c>
      <c r="AP40" s="68" t="s">
        <v>615</v>
      </c>
    </row>
    <row r="41" spans="1:42">
      <c r="A41" s="68" t="s">
        <v>136</v>
      </c>
      <c r="B41" s="68" t="s">
        <v>616</v>
      </c>
      <c r="C41" s="68" t="s">
        <v>48</v>
      </c>
      <c r="E41" s="68" t="s">
        <v>617</v>
      </c>
      <c r="K41" s="68" t="s">
        <v>618</v>
      </c>
      <c r="L41" s="68" t="s">
        <v>619</v>
      </c>
      <c r="M41" s="68" t="s">
        <v>620</v>
      </c>
      <c r="N41" s="68" t="s">
        <v>621</v>
      </c>
      <c r="O41" s="68" t="s">
        <v>622</v>
      </c>
      <c r="P41" s="68" t="s">
        <v>623</v>
      </c>
      <c r="Q41" s="68" t="s">
        <v>624</v>
      </c>
      <c r="R41" s="68" t="s">
        <v>625</v>
      </c>
      <c r="S41" s="68" t="s">
        <v>626</v>
      </c>
      <c r="T41" s="68" t="s">
        <v>627</v>
      </c>
      <c r="U41" s="68" t="s">
        <v>628</v>
      </c>
      <c r="V41" s="68" t="s">
        <v>629</v>
      </c>
      <c r="W41" s="68" t="s">
        <v>630</v>
      </c>
      <c r="X41" s="68" t="s">
        <v>631</v>
      </c>
      <c r="Y41" s="68" t="s">
        <v>632</v>
      </c>
      <c r="Z41" s="68" t="s">
        <v>633</v>
      </c>
      <c r="AA41" s="68" t="s">
        <v>634</v>
      </c>
      <c r="AB41" s="68" t="s">
        <v>635</v>
      </c>
      <c r="AC41" s="68" t="s">
        <v>636</v>
      </c>
      <c r="AD41" s="68" t="s">
        <v>637</v>
      </c>
      <c r="AE41" s="68" t="s">
        <v>638</v>
      </c>
      <c r="AF41" s="68" t="s">
        <v>637</v>
      </c>
      <c r="AG41" s="68" t="s">
        <v>95</v>
      </c>
      <c r="AH41" s="68" t="s">
        <v>639</v>
      </c>
      <c r="AJ41" s="68" t="s">
        <v>96</v>
      </c>
      <c r="AK41" s="68" t="s">
        <v>631</v>
      </c>
      <c r="AL41" s="68" t="s">
        <v>632</v>
      </c>
      <c r="AM41" s="68" t="s">
        <v>640</v>
      </c>
      <c r="AN41" s="68" t="s">
        <v>641</v>
      </c>
      <c r="AO41" s="68" t="s">
        <v>642</v>
      </c>
      <c r="AP41" s="68" t="s">
        <v>643</v>
      </c>
    </row>
    <row r="42" spans="1:42">
      <c r="A42" s="68" t="s">
        <v>136</v>
      </c>
      <c r="B42" s="68" t="s">
        <v>644</v>
      </c>
      <c r="C42" s="68" t="s">
        <v>48</v>
      </c>
      <c r="E42" s="68" t="s">
        <v>645</v>
      </c>
      <c r="K42" s="68" t="s">
        <v>646</v>
      </c>
      <c r="L42" s="68" t="s">
        <v>647</v>
      </c>
      <c r="M42" s="68" t="s">
        <v>648</v>
      </c>
      <c r="N42" s="68" t="s">
        <v>649</v>
      </c>
      <c r="O42" s="68" t="s">
        <v>650</v>
      </c>
      <c r="P42" s="68" t="s">
        <v>651</v>
      </c>
      <c r="Q42" s="68" t="s">
        <v>652</v>
      </c>
      <c r="R42" s="68" t="s">
        <v>653</v>
      </c>
      <c r="S42" s="68" t="s">
        <v>654</v>
      </c>
      <c r="T42" s="68" t="s">
        <v>655</v>
      </c>
      <c r="U42" s="68" t="s">
        <v>656</v>
      </c>
      <c r="V42" s="68" t="s">
        <v>657</v>
      </c>
      <c r="W42" s="68" t="s">
        <v>658</v>
      </c>
      <c r="X42" s="68" t="s">
        <v>659</v>
      </c>
      <c r="Y42" s="68" t="s">
        <v>660</v>
      </c>
      <c r="Z42" s="68" t="s">
        <v>661</v>
      </c>
      <c r="AA42" s="68" t="s">
        <v>662</v>
      </c>
      <c r="AB42" s="68" t="s">
        <v>663</v>
      </c>
      <c r="AC42" s="68" t="s">
        <v>664</v>
      </c>
      <c r="AD42" s="68" t="s">
        <v>665</v>
      </c>
      <c r="AE42" s="68" t="s">
        <v>666</v>
      </c>
      <c r="AF42" s="68" t="s">
        <v>665</v>
      </c>
      <c r="AG42" s="68" t="s">
        <v>95</v>
      </c>
      <c r="AH42" s="68" t="s">
        <v>667</v>
      </c>
      <c r="AJ42" s="68" t="s">
        <v>96</v>
      </c>
      <c r="AK42" s="68" t="s">
        <v>659</v>
      </c>
      <c r="AL42" s="68" t="s">
        <v>660</v>
      </c>
      <c r="AM42" s="68" t="s">
        <v>668</v>
      </c>
      <c r="AN42" s="68" t="s">
        <v>669</v>
      </c>
      <c r="AO42" s="68" t="s">
        <v>670</v>
      </c>
      <c r="AP42" s="68" t="s">
        <v>671</v>
      </c>
    </row>
    <row r="43" spans="1:42">
      <c r="A43" s="68" t="s">
        <v>136</v>
      </c>
      <c r="B43" s="68" t="s">
        <v>672</v>
      </c>
      <c r="C43" s="68" t="s">
        <v>48</v>
      </c>
      <c r="E43" s="68" t="s">
        <v>673</v>
      </c>
      <c r="K43" s="68" t="s">
        <v>674</v>
      </c>
      <c r="L43" s="68" t="s">
        <v>675</v>
      </c>
      <c r="M43" s="68" t="s">
        <v>676</v>
      </c>
      <c r="N43" s="68" t="s">
        <v>677</v>
      </c>
      <c r="O43" s="68" t="s">
        <v>678</v>
      </c>
      <c r="P43" s="68" t="s">
        <v>679</v>
      </c>
      <c r="Q43" s="68" t="s">
        <v>680</v>
      </c>
      <c r="R43" s="68" t="s">
        <v>681</v>
      </c>
      <c r="S43" s="68" t="s">
        <v>682</v>
      </c>
      <c r="T43" s="68" t="s">
        <v>683</v>
      </c>
      <c r="U43" s="68" t="s">
        <v>684</v>
      </c>
      <c r="V43" s="68" t="s">
        <v>685</v>
      </c>
      <c r="W43" s="68" t="s">
        <v>686</v>
      </c>
      <c r="X43" s="68" t="s">
        <v>687</v>
      </c>
      <c r="Y43" s="68" t="s">
        <v>688</v>
      </c>
      <c r="Z43" s="68" t="s">
        <v>689</v>
      </c>
      <c r="AA43" s="68" t="s">
        <v>690</v>
      </c>
      <c r="AB43" s="68" t="s">
        <v>691</v>
      </c>
      <c r="AC43" s="68" t="s">
        <v>692</v>
      </c>
      <c r="AD43" s="68" t="s">
        <v>693</v>
      </c>
      <c r="AE43" s="68" t="s">
        <v>694</v>
      </c>
      <c r="AF43" s="68" t="s">
        <v>693</v>
      </c>
      <c r="AG43" s="68" t="s">
        <v>95</v>
      </c>
      <c r="AH43" s="68" t="s">
        <v>695</v>
      </c>
      <c r="AJ43" s="68" t="s">
        <v>96</v>
      </c>
      <c r="AK43" s="68" t="s">
        <v>687</v>
      </c>
      <c r="AL43" s="68" t="s">
        <v>688</v>
      </c>
      <c r="AM43" s="68" t="s">
        <v>696</v>
      </c>
      <c r="AN43" s="68" t="s">
        <v>697</v>
      </c>
      <c r="AO43" s="68" t="s">
        <v>698</v>
      </c>
      <c r="AP43" s="68" t="s">
        <v>699</v>
      </c>
    </row>
    <row r="44" spans="1:42">
      <c r="A44" s="68" t="s">
        <v>136</v>
      </c>
      <c r="B44" s="68" t="s">
        <v>700</v>
      </c>
      <c r="C44" s="68" t="s">
        <v>48</v>
      </c>
      <c r="E44" s="68" t="s">
        <v>701</v>
      </c>
      <c r="K44" s="68" t="s">
        <v>702</v>
      </c>
      <c r="L44" s="68" t="s">
        <v>703</v>
      </c>
      <c r="M44" s="68" t="s">
        <v>704</v>
      </c>
      <c r="N44" s="68" t="s">
        <v>705</v>
      </c>
      <c r="O44" s="68" t="s">
        <v>706</v>
      </c>
      <c r="P44" s="68" t="s">
        <v>707</v>
      </c>
      <c r="Q44" s="68" t="s">
        <v>708</v>
      </c>
      <c r="R44" s="68" t="s">
        <v>709</v>
      </c>
      <c r="S44" s="68" t="s">
        <v>710</v>
      </c>
      <c r="T44" s="68" t="s">
        <v>711</v>
      </c>
      <c r="U44" s="68" t="s">
        <v>712</v>
      </c>
      <c r="V44" s="68" t="s">
        <v>713</v>
      </c>
      <c r="W44" s="68" t="s">
        <v>714</v>
      </c>
      <c r="X44" s="68" t="s">
        <v>715</v>
      </c>
      <c r="Y44" s="68" t="s">
        <v>716</v>
      </c>
      <c r="Z44" s="68" t="s">
        <v>717</v>
      </c>
      <c r="AA44" s="68" t="s">
        <v>718</v>
      </c>
      <c r="AB44" s="68" t="s">
        <v>719</v>
      </c>
      <c r="AC44" s="68" t="s">
        <v>720</v>
      </c>
      <c r="AD44" s="68" t="s">
        <v>721</v>
      </c>
      <c r="AE44" s="68" t="s">
        <v>722</v>
      </c>
      <c r="AF44" s="68" t="s">
        <v>721</v>
      </c>
      <c r="AG44" s="68" t="s">
        <v>95</v>
      </c>
      <c r="AH44" s="68" t="s">
        <v>723</v>
      </c>
      <c r="AJ44" s="68" t="s">
        <v>96</v>
      </c>
      <c r="AK44" s="68" t="s">
        <v>715</v>
      </c>
      <c r="AL44" s="68" t="s">
        <v>716</v>
      </c>
      <c r="AM44" s="68" t="s">
        <v>724</v>
      </c>
      <c r="AN44" s="68" t="s">
        <v>725</v>
      </c>
      <c r="AO44" s="68" t="s">
        <v>726</v>
      </c>
      <c r="AP44" s="68" t="s">
        <v>727</v>
      </c>
    </row>
    <row r="45" spans="1:42">
      <c r="B45" s="68" t="s">
        <v>728</v>
      </c>
      <c r="C45" s="68" t="s">
        <v>49</v>
      </c>
      <c r="E45" s="68" t="s">
        <v>128</v>
      </c>
      <c r="M45" s="68" t="s">
        <v>729</v>
      </c>
      <c r="N45" s="68" t="s">
        <v>730</v>
      </c>
      <c r="O45" s="68" t="s">
        <v>731</v>
      </c>
      <c r="Q45" s="68" t="s">
        <v>732</v>
      </c>
      <c r="R45" s="68" t="s">
        <v>733</v>
      </c>
      <c r="T45" s="68" t="s">
        <v>734</v>
      </c>
      <c r="U45" s="68" t="s">
        <v>735</v>
      </c>
      <c r="X45" s="68" t="s">
        <v>734</v>
      </c>
      <c r="Y45" s="68" t="s">
        <v>736</v>
      </c>
      <c r="Z45" s="68" t="s">
        <v>737</v>
      </c>
      <c r="AA45" s="68" t="s">
        <v>738</v>
      </c>
      <c r="AB45" s="68" t="s">
        <v>739</v>
      </c>
      <c r="AC45" s="68" t="s">
        <v>740</v>
      </c>
      <c r="AD45" s="68" t="s">
        <v>741</v>
      </c>
      <c r="AH45" s="68" t="s">
        <v>742</v>
      </c>
      <c r="AL45" s="68" t="s">
        <v>743</v>
      </c>
      <c r="AM45" s="68" t="s">
        <v>744</v>
      </c>
    </row>
    <row r="46" spans="1:42">
      <c r="B46" s="68" t="s">
        <v>745</v>
      </c>
      <c r="C46" s="68" t="s">
        <v>50</v>
      </c>
      <c r="E46" s="68" t="s">
        <v>131</v>
      </c>
      <c r="M46" s="68" t="s">
        <v>746</v>
      </c>
      <c r="N46" s="68" t="s">
        <v>747</v>
      </c>
      <c r="O46" s="68" t="s">
        <v>748</v>
      </c>
      <c r="Q46" s="68" t="s">
        <v>749</v>
      </c>
      <c r="R46" s="68" t="s">
        <v>750</v>
      </c>
      <c r="T46" s="68" t="s">
        <v>751</v>
      </c>
      <c r="U46" s="68" t="s">
        <v>752</v>
      </c>
      <c r="X46" s="68" t="s">
        <v>751</v>
      </c>
      <c r="Y46" s="68" t="s">
        <v>753</v>
      </c>
      <c r="Z46" s="68" t="s">
        <v>754</v>
      </c>
      <c r="AA46" s="68" t="s">
        <v>755</v>
      </c>
      <c r="AB46" s="68" t="s">
        <v>756</v>
      </c>
      <c r="AC46" s="68" t="s">
        <v>757</v>
      </c>
      <c r="AD46" s="68" t="s">
        <v>758</v>
      </c>
      <c r="AL46" s="68" t="s">
        <v>759</v>
      </c>
      <c r="AM46" s="68" t="s">
        <v>760</v>
      </c>
    </row>
    <row r="48" spans="1:42">
      <c r="AC48" s="68" t="s">
        <v>761</v>
      </c>
      <c r="AD48" s="68" t="s">
        <v>762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60"/>
  <sheetViews>
    <sheetView tabSelected="1" topLeftCell="K19" zoomScale="85" zoomScaleNormal="85" workbookViewId="0">
      <selection activeCell="P20" sqref="P20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3.42578125" style="4" customWidth="1"/>
    <col min="12" max="12" width="6.7109375" style="4" customWidth="1"/>
    <col min="13" max="13" width="11" style="4" bestFit="1" customWidth="1"/>
    <col min="14" max="14" width="11.140625" style="21" customWidth="1"/>
    <col min="15" max="15" width="11.28515625" style="18" customWidth="1"/>
    <col min="16" max="16" width="13.140625" style="18" customWidth="1"/>
    <col min="17" max="17" width="9.85546875" style="4" customWidth="1"/>
    <col min="18" max="18" width="10" style="4" customWidth="1"/>
    <col min="19" max="19" width="14" style="45" customWidth="1"/>
    <col min="20" max="20" width="9.85546875" style="45" bestFit="1" customWidth="1"/>
    <col min="21" max="21" width="15.140625" style="45" bestFit="1" customWidth="1"/>
    <col min="22" max="22" width="10.42578125" style="45" bestFit="1" customWidth="1"/>
    <col min="23" max="23" width="9.5703125" style="45" customWidth="1"/>
    <col min="24" max="24" width="16.7109375" style="4" hidden="1" customWidth="1"/>
    <col min="25" max="25" width="10.42578125" style="4" customWidth="1"/>
    <col min="26" max="26" width="10.7109375" style="4" customWidth="1"/>
    <col min="27" max="27" width="10.5703125" style="60" bestFit="1" customWidth="1"/>
    <col min="28" max="28" width="6.28515625" style="4" customWidth="1"/>
    <col min="29" max="29" width="9.85546875" style="4" customWidth="1"/>
    <col min="30" max="30" width="12" style="4" customWidth="1"/>
    <col min="31" max="31" width="8.42578125" style="21" customWidth="1"/>
    <col min="32" max="32" width="8.85546875" style="4" customWidth="1"/>
    <col min="33" max="33" width="11.28515625" style="21" customWidth="1"/>
    <col min="34" max="34" width="7.7109375" style="4" customWidth="1"/>
    <col min="35" max="35" width="6.7109375" style="4" customWidth="1"/>
    <col min="36" max="36" width="6.85546875" style="21" customWidth="1"/>
    <col min="37" max="37" width="14.42578125" style="4" customWidth="1"/>
    <col min="38" max="38" width="43.28515625" style="4" customWidth="1"/>
    <col min="39" max="39" width="11.85546875" style="3" bestFit="1" customWidth="1"/>
    <col min="40" max="40" width="14.28515625" style="4" customWidth="1"/>
    <col min="41" max="41" width="11.28515625" style="35" bestFit="1" customWidth="1"/>
    <col min="42" max="42" width="14.7109375" style="35" customWidth="1"/>
    <col min="43" max="46" width="9.28515625" style="4"/>
    <col min="47" max="48" width="9.28515625" style="4" hidden="1" customWidth="1"/>
    <col min="49" max="16384" width="9.28515625" style="4"/>
  </cols>
  <sheetData>
    <row r="1" spans="1:48" s="1" customFormat="1" hidden="1">
      <c r="A1" s="1" t="s">
        <v>139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M1" s="1" t="s">
        <v>18</v>
      </c>
      <c r="N1" s="22" t="s">
        <v>18</v>
      </c>
      <c r="O1" s="17" t="s">
        <v>18</v>
      </c>
      <c r="P1" s="17"/>
      <c r="Q1" s="1" t="s">
        <v>18</v>
      </c>
      <c r="R1" s="1" t="s">
        <v>18</v>
      </c>
      <c r="S1" s="44"/>
      <c r="T1" s="44" t="s">
        <v>18</v>
      </c>
      <c r="U1" s="44" t="s">
        <v>18</v>
      </c>
      <c r="V1" s="44" t="s">
        <v>18</v>
      </c>
      <c r="W1" s="44"/>
      <c r="X1" s="1" t="s">
        <v>7</v>
      </c>
      <c r="Y1" s="1" t="s">
        <v>7</v>
      </c>
      <c r="Z1" s="1" t="s">
        <v>18</v>
      </c>
      <c r="AA1" s="22" t="s">
        <v>18</v>
      </c>
      <c r="AB1" s="1" t="s">
        <v>18</v>
      </c>
      <c r="AE1" s="22"/>
      <c r="AG1" s="22"/>
      <c r="AJ1" s="22"/>
      <c r="AL1" s="1" t="s">
        <v>18</v>
      </c>
      <c r="AM1" s="2" t="s">
        <v>18</v>
      </c>
      <c r="AO1" s="34"/>
      <c r="AP1" s="34"/>
      <c r="AU1" s="1" t="s">
        <v>7</v>
      </c>
      <c r="AV1" s="1" t="s">
        <v>7</v>
      </c>
    </row>
    <row r="2" spans="1:48" hidden="1">
      <c r="A2" s="1" t="s">
        <v>7</v>
      </c>
      <c r="D2" s="4" t="s">
        <v>19</v>
      </c>
      <c r="E2" s="4" t="str">
        <f>Option!$C$2</f>
        <v>UICACS</v>
      </c>
    </row>
    <row r="3" spans="1:48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4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('CM0159-SGD','CZ0023-SGD','CA0216-SGD','CA0061-SGD','CM0315-SGD','CS0312-SGD','CI0099-SGD')) AND (U_ENR IN ('S7138270')  OR U_MSENR IN ('S7138270'))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('CM0159-SGD','CZ0023-SGD','CA0216-SGD','CA0061-SGD','CM0315-SGD','CS0312-SGD','CI0099-SGD')) AND (U_ENR IN ('S7138270')  OR U_MSENR IN ('S7138270'))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4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('CM0159-SGD','CZ0023-SGD','CA0216-SGD','CA0061-SGD','CM0315-SGD','CS0312-SGD','CI0099-SGD')) AND U_ENR IN ('S7138270')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U_ENR IN ('S7138270')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U_ENR IN ('S7138270')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('CM0159-SGD','CZ0023-SGD','CA0216-SGD','CA0061-SGD','CM0315-SGD','CS0312-SGD','CI0099-SGD')) AND U_ENR IN ('S7138270')  AND U_PRODTYPE ='MS' AND %Filter1% AND %Filter2%   </v>
      </c>
    </row>
    <row r="6" spans="1:48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('CM0159-SGD','CZ0023-SGD','CA0216-SGD','CA0061-SGD','CM0315-SGD','CS0312-SGD','CI0099-SGD')) AND U_MSENR IN ('S7138270')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('CM0159-SGD','CZ0023-SGD','CA0216-SGD','CA0061-SGD','CM0315-SGD','CS0312-SGD','CI0099-SGD')) AND U_MSENR IN ('S7138270')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('CM0159-SGD','CZ0023-SGD','CA0216-SGD','CA0061-SGD','CM0315-SGD','CS0312-SGD','CI0099-SGD')) AND U_MSENR IN ('S7138270')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('CM0159-SGD','CZ0023-SGD','CA0216-SGD','CA0061-SGD','CM0315-SGD','CS0312-SGD','CI0099-SGD')) AND U_MSENR IN ('S7138270') AND U_PRODTYPE ='MS' AND %Filter1% AND %Filter2%   </v>
      </c>
    </row>
    <row r="7" spans="1:48" hidden="1">
      <c r="A7" s="1" t="s">
        <v>7</v>
      </c>
    </row>
    <row r="8" spans="1:48" hidden="1">
      <c r="A8" s="1" t="s">
        <v>7</v>
      </c>
      <c r="M8" s="9"/>
    </row>
    <row r="9" spans="1:48" hidden="1">
      <c r="A9" s="1" t="s">
        <v>7</v>
      </c>
      <c r="M9" s="9"/>
    </row>
    <row r="10" spans="1:48" hidden="1">
      <c r="A10" s="1" t="s">
        <v>7</v>
      </c>
    </row>
    <row r="11" spans="1:48" hidden="1">
      <c r="A11" s="1" t="s">
        <v>7</v>
      </c>
      <c r="C11" s="4" t="s">
        <v>27</v>
      </c>
      <c r="E11" s="4" t="str">
        <f>Option!$C$9</f>
        <v>20240701..20240731</v>
      </c>
      <c r="M11" s="9"/>
    </row>
    <row r="12" spans="1:48" hidden="1">
      <c r="A12" s="1" t="s">
        <v>7</v>
      </c>
      <c r="C12" s="4" t="s">
        <v>28</v>
      </c>
      <c r="E12" s="4" t="str">
        <f>Option!$C$5</f>
        <v>*</v>
      </c>
      <c r="M12" s="9"/>
    </row>
    <row r="13" spans="1:48" hidden="1">
      <c r="A13" s="1" t="s">
        <v>7</v>
      </c>
      <c r="C13" s="4" t="s">
        <v>42</v>
      </c>
      <c r="E13" s="4" t="str">
        <f>Option!$C$10</f>
        <v>'S7138270'</v>
      </c>
      <c r="M13" s="9"/>
    </row>
    <row r="14" spans="1:48" hidden="1">
      <c r="A14" s="1" t="s">
        <v>7</v>
      </c>
      <c r="C14" s="4" t="s">
        <v>39</v>
      </c>
      <c r="E14" s="4" t="str">
        <f>Option!$C$11</f>
        <v>'S7138270'</v>
      </c>
      <c r="M14" s="9"/>
    </row>
    <row r="15" spans="1:48" hidden="1">
      <c r="A15" s="1" t="s">
        <v>7</v>
      </c>
      <c r="C15" s="4" t="s">
        <v>43</v>
      </c>
      <c r="E15" s="4" t="str">
        <f>Option!$C$12</f>
        <v>'MS'</v>
      </c>
      <c r="AL15" s="16"/>
    </row>
    <row r="16" spans="1:48" hidden="1">
      <c r="A16" s="1" t="s">
        <v>7</v>
      </c>
      <c r="C16" s="4" t="s">
        <v>44</v>
      </c>
      <c r="E16" s="4" t="str">
        <f>Option!$C$13</f>
        <v>'CM0159-SGD','CZ0023-SGD','CA0216-SGD','CA0061-SGD','CM0315-SGD','CS0312-SGD','CI0099-SGD'</v>
      </c>
    </row>
    <row r="17" spans="1:42" hidden="1">
      <c r="A17" s="1" t="s">
        <v>7</v>
      </c>
    </row>
    <row r="18" spans="1:42" s="23" customFormat="1" hidden="1">
      <c r="A18" s="23" t="s">
        <v>7</v>
      </c>
      <c r="I18" s="24"/>
      <c r="N18" s="25"/>
      <c r="O18" s="26"/>
      <c r="P18" s="26"/>
      <c r="S18" s="46"/>
      <c r="T18" s="46"/>
      <c r="U18" s="46"/>
      <c r="V18" s="46"/>
      <c r="W18" s="46"/>
      <c r="AA18" s="61"/>
      <c r="AE18" s="25"/>
      <c r="AG18" s="25"/>
      <c r="AJ18" s="25"/>
      <c r="AM18" s="73"/>
      <c r="AO18" s="36"/>
      <c r="AP18" s="36"/>
    </row>
    <row r="20" spans="1:42" ht="15.75">
      <c r="M20" s="20"/>
      <c r="N20" s="20"/>
      <c r="O20" s="20"/>
      <c r="P20" s="20"/>
      <c r="Q20" s="20"/>
      <c r="R20" s="20"/>
      <c r="S20" s="47"/>
      <c r="T20" s="47"/>
      <c r="U20" s="47"/>
      <c r="V20" s="47"/>
      <c r="W20" s="47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74"/>
      <c r="AN20" s="20"/>
    </row>
    <row r="21" spans="1:42" s="40" customFormat="1" ht="18.75">
      <c r="A21" s="39"/>
      <c r="B21" s="39"/>
      <c r="I21" s="41"/>
      <c r="M21" s="72" t="s">
        <v>76</v>
      </c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43"/>
      <c r="AO21" s="42"/>
      <c r="AP21" s="42"/>
    </row>
    <row r="22" spans="1:42" ht="15.75">
      <c r="M22" s="20"/>
      <c r="N22" s="20"/>
      <c r="O22" s="20"/>
      <c r="P22" s="20"/>
      <c r="Q22" s="20"/>
      <c r="R22" s="20"/>
      <c r="S22" s="47"/>
      <c r="T22" s="47"/>
      <c r="U22" s="47"/>
      <c r="V22" s="47"/>
      <c r="W22" s="47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74"/>
      <c r="AN22" s="20"/>
    </row>
    <row r="23" spans="1:42" s="54" customFormat="1" ht="63">
      <c r="A23" s="53"/>
      <c r="B23" s="53"/>
      <c r="E23" s="55" t="s">
        <v>29</v>
      </c>
      <c r="I23" s="56"/>
      <c r="K23" s="48" t="s">
        <v>77</v>
      </c>
      <c r="L23" s="48" t="s">
        <v>78</v>
      </c>
      <c r="M23" s="48" t="s">
        <v>14</v>
      </c>
      <c r="N23" s="48" t="s">
        <v>16</v>
      </c>
      <c r="O23" s="88" t="s">
        <v>30</v>
      </c>
      <c r="P23" s="57" t="s">
        <v>79</v>
      </c>
      <c r="Q23" s="48" t="s">
        <v>31</v>
      </c>
      <c r="R23" s="58" t="s">
        <v>38</v>
      </c>
      <c r="S23" s="48" t="s">
        <v>777</v>
      </c>
      <c r="T23" s="48" t="s">
        <v>80</v>
      </c>
      <c r="U23" s="48" t="s">
        <v>34</v>
      </c>
      <c r="V23" s="49" t="s">
        <v>81</v>
      </c>
      <c r="W23" s="49" t="s">
        <v>82</v>
      </c>
      <c r="X23" s="64" t="s">
        <v>36</v>
      </c>
      <c r="Y23" s="64" t="s">
        <v>12</v>
      </c>
      <c r="Z23" s="58" t="s">
        <v>32</v>
      </c>
      <c r="AA23" s="48" t="s">
        <v>13</v>
      </c>
      <c r="AB23" s="58" t="s">
        <v>37</v>
      </c>
      <c r="AC23" s="59" t="s">
        <v>57</v>
      </c>
      <c r="AD23" s="59" t="s">
        <v>58</v>
      </c>
      <c r="AE23" s="62" t="s">
        <v>83</v>
      </c>
      <c r="AF23" s="58" t="s">
        <v>84</v>
      </c>
      <c r="AG23" s="48" t="s">
        <v>85</v>
      </c>
      <c r="AH23" s="58" t="s">
        <v>86</v>
      </c>
      <c r="AI23" s="58" t="s">
        <v>87</v>
      </c>
      <c r="AJ23" s="66" t="s">
        <v>94</v>
      </c>
      <c r="AK23" s="66" t="s">
        <v>88</v>
      </c>
      <c r="AL23" s="66" t="s">
        <v>89</v>
      </c>
      <c r="AM23" s="66" t="s">
        <v>90</v>
      </c>
      <c r="AN23" s="66" t="s">
        <v>91</v>
      </c>
      <c r="AO23" s="66" t="s">
        <v>92</v>
      </c>
      <c r="AP23" s="66" t="s">
        <v>93</v>
      </c>
    </row>
    <row r="24" spans="1:42">
      <c r="B24" s="1" t="str">
        <f>IF(M24="","Hide","Show")</f>
        <v>Show</v>
      </c>
      <c r="C24" s="4" t="s">
        <v>48</v>
      </c>
      <c r="E24" s="13" t="str">
        <f>"""UICACS"","""",""SQL="",""2=DOCNUM"",""33035791"",""14=CUSTREF"",""8000008032"",""14=U_CUSTREF"",""8000008032"",""15=DOCDATE"",""2/7/2024"",""15=TAXDATE"",""2/7/2024"",""14=CARDCODE"",""CI0099-SGD"",""14=CARDNAME"",""SYNAPXE PTE. LTD."",""14=ITEMCODE"",""MSL5D-00162GLP"",""14=ITEMNAME"",""MS VI"&amp;"SUAL STUDIO TEST PRO MSDN ALNG SA"",""10=QUANTITY"",""24.000000"",""14=U_PONO"",""941790"",""15=U_PODATE"",""17/2/2023"",""10=U_TLINTCOS"",""0.000000"",""2=SLPCODE"",""132"",""14=SLPNAME"",""E0001-CS"",""14=MEMO"",""WENDY KUM CHIOU SZE"",""14=CONTACTNAME"",""E-INVOICE(AP DIRECT)"",""10=LI"&amp;"NETOTAL"",""10191.840000"",""14=U_ENR"","""",""14=U_MSENR"",""S7138270"",""14=U_MSPCN"",""AD5A91AA"",""14=ADDRESS2"",""SAL MOHAN KUMAR PATRO_x000D_INTEGRATED HEALTH INFORMATION SYSTEMS PTE. LTD. 6 SERANGOON NORTH AVE 5, #01-01/02 SINGAPORE 554910_x000D_SAL MOHAN KUMAR PATRO_x000D_TEL: 93846"&amp;"950_x000D_FAX: _x000D_EMAIL: sal.mohan.kumar.patro@ihis.com.sg"""</f>
        <v>"UICACS","","SQL=","2=DOCNUM","33035791","14=CUSTREF","8000008032","14=U_CUSTREF","8000008032","15=DOCDATE","2/7/2024","15=TAXDATE","2/7/2024","14=CARDCODE","CI0099-SGD","14=CARDNAME","SYNAPXE PTE. LTD.","14=ITEMCODE","MSL5D-00162GLP","14=ITEMNAME","MS VISUAL STUDIO TEST PRO MSDN ALNG SA","10=QUANTITY","24.000000","14=U_PONO","941790","15=U_PODATE","17/2/2023","10=U_TLINTCOS","0.000000","2=SLPCODE","132","14=SLPNAME","E0001-CS","14=MEMO","WENDY KUM CHIOU SZE","14=CONTACTNAME","E-INVOICE(AP DIRECT)","10=LINETOTAL","10191.840000","14=U_ENR","","14=U_MSENR","S7138270","14=U_MSPCN","AD5A91AA","14=ADDRESS2","SAL MOHAN KUMAR PATRO_x000D_INTEGRATED HEALTH INFORMATION SYSTEMS PTE. LTD. 6 SERANGOON NORTH AVE 5, #01-01/02 SINGAPORE 554910_x000D_SAL MOHAN KUMAR PATRO_x000D_TEL: 93846950_x000D_FAX: _x000D_EMAIL: sal.mohan.kumar.patro@ihis.com.sg"</v>
      </c>
      <c r="K24" s="4">
        <f>MONTH(N24)</f>
        <v>7</v>
      </c>
      <c r="L24" s="4">
        <f>YEAR(N24)</f>
        <v>2024</v>
      </c>
      <c r="M24" s="4">
        <v>33035791</v>
      </c>
      <c r="N24" s="38">
        <v>45475</v>
      </c>
      <c r="O24" s="4" t="str">
        <f>"S7138270"</f>
        <v>S7138270</v>
      </c>
      <c r="P24" s="4" t="str">
        <f>"AD5A91AA"</f>
        <v>AD5A91AA</v>
      </c>
      <c r="Q24" s="4" t="str">
        <f>"CI0099-SGD"</f>
        <v>CI0099-SGD</v>
      </c>
      <c r="R24" s="4" t="str">
        <f>"SYNAPXE PTE. LTD."</f>
        <v>SYNAPXE PTE. LTD.</v>
      </c>
      <c r="S24" s="50" t="str">
        <f>"941790"</f>
        <v>941790</v>
      </c>
      <c r="T24" s="50">
        <v>44974</v>
      </c>
      <c r="U24" s="50" t="str">
        <f>"8000008032"</f>
        <v>8000008032</v>
      </c>
      <c r="V24" s="50">
        <v>45475</v>
      </c>
      <c r="W24" s="51">
        <f>SUM(N24-T24)</f>
        <v>501</v>
      </c>
      <c r="X24" s="65" t="str">
        <f>"MSL5D-00162GLP"</f>
        <v>MSL5D-00162GLP</v>
      </c>
      <c r="Y24" s="65" t="str">
        <f>"MS VISUAL STUDIO TEST PRO MSDN ALNG SA"</f>
        <v>MS VISUAL STUDIO TEST PRO MSDN ALNG SA</v>
      </c>
      <c r="Z24" s="65" t="str">
        <f>"WENDY KUM CHIOU SZE"</f>
        <v>WENDY KUM CHIOU SZE</v>
      </c>
      <c r="AA24" s="60">
        <v>24</v>
      </c>
      <c r="AB24" s="65" t="str">
        <f>"E-INVOICE(AP DIRECT)"</f>
        <v>E-INVOICE(AP DIRECT)</v>
      </c>
      <c r="AC24" s="37">
        <f>IFERROR(AD24/AA24,0)</f>
        <v>424.66</v>
      </c>
      <c r="AD24" s="37">
        <v>10191.84</v>
      </c>
      <c r="AE24" s="63" t="str">
        <f>"-"</f>
        <v>-</v>
      </c>
      <c r="AF24" s="37">
        <v>10191.84</v>
      </c>
      <c r="AG24" s="63" t="s">
        <v>95</v>
      </c>
      <c r="AH24" s="67" t="str">
        <f>"SAL MOHAN KUMAR PATRO_x000D_INTEGRATED HEALTH INFORMATION SYSTEMS PTE. LTD. 6 SERANGOON NORTH AVE 5, #01-01/02 SINGAPORE 554910_x000D_SAL MOHAN KUMAR PATRO_x000D_TEL: 93846950_x000D_FAX: _x000D_EMAIL: sal.mohan.kumar.patro@ihis.com.sg"</f>
        <v>SAL MOHAN KUMAR PATRO_x000D_INTEGRATED HEALTH INFORMATION SYSTEMS PTE. LTD. 6 SERANGOON NORTH AVE 5, #01-01/02 SINGAPORE 554910_x000D_SAL MOHAN KUMAR PATRO_x000D_TEL: 93846950_x000D_FAX: _x000D_EMAIL: sal.mohan.kumar.patro@ihis.com.sg</v>
      </c>
      <c r="AI24" s="18"/>
      <c r="AJ24" s="63" t="s">
        <v>96</v>
      </c>
      <c r="AK24" s="4" t="str">
        <f>"MSL5D-00162GLP"</f>
        <v>MSL5D-00162GLP</v>
      </c>
      <c r="AL24" s="4" t="str">
        <f>"MS VISUAL STUDIO TEST PRO MSDN ALNG SA"</f>
        <v>MS VISUAL STUDIO TEST PRO MSDN ALNG SA</v>
      </c>
      <c r="AM24" s="3" t="s">
        <v>763</v>
      </c>
      <c r="AN24" s="4" t="s">
        <v>764</v>
      </c>
      <c r="AO24" s="4" t="s">
        <v>765</v>
      </c>
      <c r="AP24" s="4" t="s">
        <v>766</v>
      </c>
    </row>
    <row r="25" spans="1:42">
      <c r="A25" s="1" t="s">
        <v>136</v>
      </c>
      <c r="B25" s="1" t="str">
        <f t="shared" ref="B25:B44" si="0">IF(M25="","Hide","Show")</f>
        <v>Show</v>
      </c>
      <c r="C25" s="4" t="s">
        <v>48</v>
      </c>
      <c r="E25" s="13" t="str">
        <f>"""UICACS"","""",""SQL="",""2=DOCNUM"",""33035791"",""14=CUSTREF"",""8000008032"",""14=U_CUSTREF"",""8000008032"",""15=DOCDATE"",""2/7/2024"",""15=TAXDATE"",""2/7/2024"",""14=CARDCODE"",""CI0099-SGD"",""14=CARDNAME"",""SYNAPXE PTE. LTD."",""14=ITEMCODE"",""MSL5D-00162GLP"",""14=ITEMNAME"",""MS VI"&amp;"SUAL STUDIO TEST PRO MSDN ALNG SA"",""10=QUANTITY"",""1.000000"",""14=U_PONO"",""941790"",""15=U_PODATE"",""17/2/2023"",""10=U_TLINTCOS"",""0.000000"",""2=SLPCODE"",""132"",""14=SLPNAME"",""E0001-CS"",""14=MEMO"",""WENDY KUM CHIOU SZE"",""14=CONTACTNAME"",""E-INVOICE(AP DIRECT)"",""10=LIN"&amp;"ETOTAL"",""424.840000"",""14=U_ENR"","""",""14=U_MSENR"",""S7138270"",""14=U_MSPCN"",""AD5A91AA"",""14=ADDRESS2"",""SAL MOHAN KUMAR PATRO_x000D_INTEGRATED HEALTH INFORMATION SYSTEMS PTE. LTD. 6 SERANGOON NORTH AVE 5, #01-01/02 SINGAPORE 554910_x000D_SAL MOHAN KUMAR PATRO_x000D_TEL: 93846950"&amp;"_x000D_FAX: _x000D_EMAIL: sal.mohan.kumar.patro@ihis.com.sg"""</f>
        <v>"UICACS","","SQL=","2=DOCNUM","33035791","14=CUSTREF","8000008032","14=U_CUSTREF","8000008032","15=DOCDATE","2/7/2024","15=TAXDATE","2/7/2024","14=CARDCODE","CI0099-SGD","14=CARDNAME","SYNAPXE PTE. LTD.","14=ITEMCODE","MSL5D-00162GLP","14=ITEMNAME","MS VISUAL STUDIO TEST PRO MSDN ALNG SA","10=QUANTITY","1.000000","14=U_PONO","941790","15=U_PODATE","17/2/2023","10=U_TLINTCOS","0.000000","2=SLPCODE","132","14=SLPNAME","E0001-CS","14=MEMO","WENDY KUM CHIOU SZE","14=CONTACTNAME","E-INVOICE(AP DIRECT)","10=LINETOTAL","424.840000","14=U_ENR","","14=U_MSENR","S7138270","14=U_MSPCN","AD5A91AA","14=ADDRESS2","SAL MOHAN KUMAR PATRO_x000D_INTEGRATED HEALTH INFORMATION SYSTEMS PTE. LTD. 6 SERANGOON NORTH AVE 5, #01-01/02 SINGAPORE 554910_x000D_SAL MOHAN KUMAR PATRO_x000D_TEL: 93846950_x000D_FAX: _x000D_EMAIL: sal.mohan.kumar.patro@ihis.com.sg"</v>
      </c>
      <c r="K25" s="4">
        <f>MONTH(N25)</f>
        <v>7</v>
      </c>
      <c r="L25" s="4">
        <f>YEAR(N25)</f>
        <v>2024</v>
      </c>
      <c r="M25" s="4">
        <v>33035791</v>
      </c>
      <c r="N25" s="38">
        <v>45475</v>
      </c>
      <c r="O25" s="4" t="str">
        <f>"S7138270"</f>
        <v>S7138270</v>
      </c>
      <c r="P25" s="4" t="str">
        <f>"AD5A91AA"</f>
        <v>AD5A91AA</v>
      </c>
      <c r="Q25" s="4" t="str">
        <f>"CI0099-SGD"</f>
        <v>CI0099-SGD</v>
      </c>
      <c r="R25" s="4" t="str">
        <f>"SYNAPXE PTE. LTD."</f>
        <v>SYNAPXE PTE. LTD.</v>
      </c>
      <c r="S25" s="50" t="str">
        <f>"941790"</f>
        <v>941790</v>
      </c>
      <c r="T25" s="50">
        <v>44974</v>
      </c>
      <c r="U25" s="50" t="str">
        <f>"8000008032"</f>
        <v>8000008032</v>
      </c>
      <c r="V25" s="50">
        <v>45475</v>
      </c>
      <c r="W25" s="51">
        <f>SUM(N25-T25)</f>
        <v>501</v>
      </c>
      <c r="X25" s="65" t="str">
        <f>"MSL5D-00162GLP"</f>
        <v>MSL5D-00162GLP</v>
      </c>
      <c r="Y25" s="65" t="str">
        <f>"MS VISUAL STUDIO TEST PRO MSDN ALNG SA"</f>
        <v>MS VISUAL STUDIO TEST PRO MSDN ALNG SA</v>
      </c>
      <c r="Z25" s="65" t="str">
        <f>"WENDY KUM CHIOU SZE"</f>
        <v>WENDY KUM CHIOU SZE</v>
      </c>
      <c r="AA25" s="60">
        <v>1</v>
      </c>
      <c r="AB25" s="65" t="str">
        <f>"E-INVOICE(AP DIRECT)"</f>
        <v>E-INVOICE(AP DIRECT)</v>
      </c>
      <c r="AC25" s="37">
        <f>IFERROR(AD25/AA25,0)</f>
        <v>424.84</v>
      </c>
      <c r="AD25" s="37">
        <v>424.84</v>
      </c>
      <c r="AE25" s="63" t="str">
        <f>"-"</f>
        <v>-</v>
      </c>
      <c r="AF25" s="37">
        <v>424.84</v>
      </c>
      <c r="AG25" s="63" t="s">
        <v>95</v>
      </c>
      <c r="AH25" s="67" t="str">
        <f>"SAL MOHAN KUMAR PATRO_x000D_INTEGRATED HEALTH INFORMATION SYSTEMS PTE. LTD. 6 SERANGOON NORTH AVE 5, #01-01/02 SINGAPORE 554910_x000D_SAL MOHAN KUMAR PATRO_x000D_TEL: 93846950_x000D_FAX: _x000D_EMAIL: sal.mohan.kumar.patro@ihis.com.sg"</f>
        <v>SAL MOHAN KUMAR PATRO_x000D_INTEGRATED HEALTH INFORMATION SYSTEMS PTE. LTD. 6 SERANGOON NORTH AVE 5, #01-01/02 SINGAPORE 554910_x000D_SAL MOHAN KUMAR PATRO_x000D_TEL: 93846950_x000D_FAX: _x000D_EMAIL: sal.mohan.kumar.patro@ihis.com.sg</v>
      </c>
      <c r="AI25" s="18"/>
      <c r="AJ25" s="63" t="s">
        <v>96</v>
      </c>
      <c r="AK25" s="4" t="str">
        <f>"MSL5D-00162GLP"</f>
        <v>MSL5D-00162GLP</v>
      </c>
      <c r="AL25" s="4" t="str">
        <f>"MS VISUAL STUDIO TEST PRO MSDN ALNG SA"</f>
        <v>MS VISUAL STUDIO TEST PRO MSDN ALNG SA</v>
      </c>
      <c r="AM25" s="3" t="s">
        <v>763</v>
      </c>
      <c r="AN25" s="4" t="s">
        <v>764</v>
      </c>
      <c r="AO25" s="4" t="s">
        <v>765</v>
      </c>
      <c r="AP25" s="4" t="s">
        <v>766</v>
      </c>
    </row>
    <row r="26" spans="1:42">
      <c r="A26" s="1" t="s">
        <v>136</v>
      </c>
      <c r="B26" s="1" t="str">
        <f t="shared" si="0"/>
        <v>Show</v>
      </c>
      <c r="C26" s="4" t="s">
        <v>48</v>
      </c>
      <c r="E26" s="13" t="str">
        <f>"""UICACS"","""",""SQL="",""2=DOCNUM"",""33035794"",""14=CUSTREF"",""8000007432"",""14=U_CUSTREF"",""8000007432"",""15=DOCDATE"",""2/7/2024"",""15=TAXDATE"",""2/7/2024"",""14=CARDCODE"",""CI0099-SGD"",""14=CARDNAME"",""SYNAPXE PTE. LTD."",""14=ITEMCODE"",""MSL5D-00161GLP"",""14=ITEMNAME"",""MS VS"&amp;"TSTPROWMSDN ALNG LICSAPK MVL"",""10=QUANTITY"",""19.000000"",""14=U_PONO"",""937223"",""15=U_PODATE"",""27/6/2022"",""10=U_TLINTCOS"",""0.000000"",""2=SLPCODE"",""132"",""14=SLPNAME"",""E0001-CS"",""14=MEMO"",""WENDY KUM CHIOU SZE"",""14=CONTACTNAME"",""ACCOUNTS PAYABLE-FINANCE DEPT"",""1"&amp;"0=LINETOTAL"",""17510.020000"",""14=U_ENR"","""",""14=U_MSENR"",""S7138270"",""14=U_MSPCN"",""AD5A91AA"",""14=ADDRESS2"",""SAL MOHAN KUMAR PATRO(SYNAPXE)_x000D_SYNAPXE PTE. LTD. 6 SERANGOON NORTH AVE 5, #01-01/02 SINGAPORE 554910_x000D_SAL MOHAN KUMAR PATRO_x000D_TEL: 93846950_x000D_FAX: _x000D_EMAIL: "&amp;"sal.mohan.kumar.patro@synapxe.sg"""</f>
        <v>"UICACS","","SQL=","2=DOCNUM","33035794","14=CUSTREF","8000007432","14=U_CUSTREF","8000007432","15=DOCDATE","2/7/2024","15=TAXDATE","2/7/2024","14=CARDCODE","CI0099-SGD","14=CARDNAME","SYNAPXE PTE. LTD.","14=ITEMCODE","MSL5D-00161GLP","14=ITEMNAME","MS VSTSTPROWMSDN ALNG LICSAPK MVL","10=QUANTITY","19.000000","14=U_PONO","937223","15=U_PODATE","27/6/2022","10=U_TLINTCOS","0.000000","2=SLPCODE","132","14=SLPNAME","E0001-CS","14=MEMO","WENDY KUM CHIOU SZE","14=CONTACTNAME","ACCOUNTS PAYABLE-FINANCE DEPT","10=LINETOTAL","17510.020000","14=U_ENR","","14=U_MSENR","S7138270","14=U_MSPCN","AD5A91AA","14=ADDRESS2","SAL MOHAN KUMAR PATRO(SYNAPXE)_x000D_SYNAPXE PTE. LTD. 6 SERANGOON NORTH AVE 5, #01-01/02 SINGAPORE 554910_x000D_SAL MOHAN KUMAR PATRO_x000D_TEL: 93846950_x000D_FAX: _x000D_EMAIL: sal.mohan.kumar.patro@synapxe.sg"</v>
      </c>
      <c r="K26" s="4">
        <f>MONTH(N26)</f>
        <v>7</v>
      </c>
      <c r="L26" s="4">
        <f>YEAR(N26)</f>
        <v>2024</v>
      </c>
      <c r="M26" s="4">
        <v>33035794</v>
      </c>
      <c r="N26" s="38">
        <v>45475</v>
      </c>
      <c r="O26" s="4" t="str">
        <f>"S7138270"</f>
        <v>S7138270</v>
      </c>
      <c r="P26" s="4" t="str">
        <f>"AD5A91AA"</f>
        <v>AD5A91AA</v>
      </c>
      <c r="Q26" s="4" t="str">
        <f>"CI0099-SGD"</f>
        <v>CI0099-SGD</v>
      </c>
      <c r="R26" s="4" t="str">
        <f>"SYNAPXE PTE. LTD."</f>
        <v>SYNAPXE PTE. LTD.</v>
      </c>
      <c r="S26" s="50" t="str">
        <f>"937223"</f>
        <v>937223</v>
      </c>
      <c r="T26" s="50">
        <v>44739</v>
      </c>
      <c r="U26" s="50" t="str">
        <f>"8000007432"</f>
        <v>8000007432</v>
      </c>
      <c r="V26" s="50">
        <v>45475</v>
      </c>
      <c r="W26" s="51">
        <f>SUM(N26-T26)</f>
        <v>736</v>
      </c>
      <c r="X26" s="65" t="str">
        <f>"MSL5D-00161GLP"</f>
        <v>MSL5D-00161GLP</v>
      </c>
      <c r="Y26" s="65" t="str">
        <f>"MS VSTSTPROWMSDN ALNG LICSAPK MVL"</f>
        <v>MS VSTSTPROWMSDN ALNG LICSAPK MVL</v>
      </c>
      <c r="Z26" s="65" t="str">
        <f>"WENDY KUM CHIOU SZE"</f>
        <v>WENDY KUM CHIOU SZE</v>
      </c>
      <c r="AA26" s="60">
        <v>19</v>
      </c>
      <c r="AB26" s="65" t="str">
        <f>"ACCOUNTS PAYABLE-FINANCE DEPT"</f>
        <v>ACCOUNTS PAYABLE-FINANCE DEPT</v>
      </c>
      <c r="AC26" s="37">
        <f>IFERROR(AD26/AA26,0)</f>
        <v>921.58</v>
      </c>
      <c r="AD26" s="37">
        <v>17510.02</v>
      </c>
      <c r="AE26" s="63" t="str">
        <f>"-"</f>
        <v>-</v>
      </c>
      <c r="AF26" s="37">
        <v>17510.02</v>
      </c>
      <c r="AG26" s="63" t="s">
        <v>95</v>
      </c>
      <c r="AH26" s="67" t="str">
        <f>"SAL MOHAN KUMAR PATRO(SYNAPXE)_x000D_SYNAPXE PTE. LTD. 6 SERANGOON NORTH AVE 5, #01-01/02 SINGAPORE 554910_x000D_SAL MOHAN KUMAR PATRO_x000D_TEL: 93846950_x000D_FAX: _x000D_EMAIL: sal.mohan.kumar.patro@synapxe.sg"</f>
        <v>SAL MOHAN KUMAR PATRO(SYNAPXE)_x000D_SYNAPXE PTE. LTD. 6 SERANGOON NORTH AVE 5, #01-01/02 SINGAPORE 554910_x000D_SAL MOHAN KUMAR PATRO_x000D_TEL: 93846950_x000D_FAX: _x000D_EMAIL: sal.mohan.kumar.patro@synapxe.sg</v>
      </c>
      <c r="AI26" s="18"/>
      <c r="AJ26" s="63" t="s">
        <v>96</v>
      </c>
      <c r="AK26" s="4" t="str">
        <f>"MSL5D-00161GLP"</f>
        <v>MSL5D-00161GLP</v>
      </c>
      <c r="AL26" s="4" t="str">
        <f>"MS VSTSTPROWMSDN ALNG LICSAPK MVL"</f>
        <v>MS VSTSTPROWMSDN ALNG LICSAPK MVL</v>
      </c>
      <c r="AM26" s="75" t="s">
        <v>767</v>
      </c>
      <c r="AN26" s="4" t="s">
        <v>764</v>
      </c>
      <c r="AO26" s="4" t="s">
        <v>765</v>
      </c>
      <c r="AP26" s="4" t="s">
        <v>776</v>
      </c>
    </row>
    <row r="27" spans="1:42">
      <c r="A27" s="1" t="s">
        <v>136</v>
      </c>
      <c r="B27" s="1" t="str">
        <f t="shared" si="0"/>
        <v>Show</v>
      </c>
      <c r="C27" s="4" t="s">
        <v>48</v>
      </c>
      <c r="E27" s="13" t="str">
        <f>"""UICACS"","""",""SQL="",""2=DOCNUM"",""33035794"",""14=CUSTREF"",""8000007432"",""14=U_CUSTREF"",""8000007432"",""15=DOCDATE"",""2/7/2024"",""15=TAXDATE"",""2/7/2024"",""14=CARDCODE"",""CI0099-SGD"",""14=CARDNAME"",""SYNAPXE PTE. LTD."",""14=ITEMCODE"",""MSL5D-00161GLP"",""14=ITEMNAME"",""MS VS"&amp;"TSTPROWMSDN ALNG LICSAPK MVL"",""10=QUANTITY"",""1.000000"",""14=U_PONO"",""937223"",""15=U_PODATE"",""27/6/2022"",""10=U_TLINTCOS"",""0.000000"",""2=SLPCODE"",""132"",""14=SLPNAME"",""E0001-CS"",""14=MEMO"",""WENDY KUM CHIOU SZE"",""14=CONTACTNAME"",""ACCOUNTS PAYABLE-FINANCE DEPT"",""10"&amp;"=LINETOTAL"",""921.640000"",""14=U_ENR"","""",""14=U_MSENR"",""S7138270"",""14=U_MSPCN"",""AD5A91AA"",""14=ADDRESS2"",""SAL MOHAN KUMAR PATRO(SYNAPXE)_x000D_SYNAPXE PTE. LTD. 6 SERANGOON NORTH AVE 5, #01-01/02 SINGAPORE 554910_x000D_SAL MOHAN KUMAR PATRO_x000D_TEL: 93846950_x000D_FAX: _x000D_EMAIL: sal"&amp;".mohan.kumar.patro@synapxe.sg"""</f>
        <v>"UICACS","","SQL=","2=DOCNUM","33035794","14=CUSTREF","8000007432","14=U_CUSTREF","8000007432","15=DOCDATE","2/7/2024","15=TAXDATE","2/7/2024","14=CARDCODE","CI0099-SGD","14=CARDNAME","SYNAPXE PTE. LTD.","14=ITEMCODE","MSL5D-00161GLP","14=ITEMNAME","MS VSTSTPROWMSDN ALNG LICSAPK MVL","10=QUANTITY","1.000000","14=U_PONO","937223","15=U_PODATE","27/6/2022","10=U_TLINTCOS","0.000000","2=SLPCODE","132","14=SLPNAME","E0001-CS","14=MEMO","WENDY KUM CHIOU SZE","14=CONTACTNAME","ACCOUNTS PAYABLE-FINANCE DEPT","10=LINETOTAL","921.640000","14=U_ENR","","14=U_MSENR","S7138270","14=U_MSPCN","AD5A91AA","14=ADDRESS2","SAL MOHAN KUMAR PATRO(SYNAPXE)_x000D_SYNAPXE PTE. LTD. 6 SERANGOON NORTH AVE 5, #01-01/02 SINGAPORE 554910_x000D_SAL MOHAN KUMAR PATRO_x000D_TEL: 93846950_x000D_FAX: _x000D_EMAIL: sal.mohan.kumar.patro@synapxe.sg"</v>
      </c>
      <c r="K27" s="4">
        <f>MONTH(N27)</f>
        <v>7</v>
      </c>
      <c r="L27" s="4">
        <f>YEAR(N27)</f>
        <v>2024</v>
      </c>
      <c r="M27" s="4">
        <v>33035794</v>
      </c>
      <c r="N27" s="38">
        <v>45475</v>
      </c>
      <c r="O27" s="4" t="str">
        <f>"S7138270"</f>
        <v>S7138270</v>
      </c>
      <c r="P27" s="4" t="str">
        <f>"AD5A91AA"</f>
        <v>AD5A91AA</v>
      </c>
      <c r="Q27" s="4" t="str">
        <f>"CI0099-SGD"</f>
        <v>CI0099-SGD</v>
      </c>
      <c r="R27" s="4" t="str">
        <f>"SYNAPXE PTE. LTD."</f>
        <v>SYNAPXE PTE. LTD.</v>
      </c>
      <c r="S27" s="50" t="str">
        <f>"937223"</f>
        <v>937223</v>
      </c>
      <c r="T27" s="50">
        <v>44739</v>
      </c>
      <c r="U27" s="50" t="str">
        <f>"8000007432"</f>
        <v>8000007432</v>
      </c>
      <c r="V27" s="50">
        <v>45475</v>
      </c>
      <c r="W27" s="51">
        <f>SUM(N27-T27)</f>
        <v>736</v>
      </c>
      <c r="X27" s="65" t="str">
        <f>"MSL5D-00161GLP"</f>
        <v>MSL5D-00161GLP</v>
      </c>
      <c r="Y27" s="65" t="str">
        <f>"MS VSTSTPROWMSDN ALNG LICSAPK MVL"</f>
        <v>MS VSTSTPROWMSDN ALNG LICSAPK MVL</v>
      </c>
      <c r="Z27" s="65" t="str">
        <f>"WENDY KUM CHIOU SZE"</f>
        <v>WENDY KUM CHIOU SZE</v>
      </c>
      <c r="AA27" s="60">
        <v>1</v>
      </c>
      <c r="AB27" s="65" t="str">
        <f>"ACCOUNTS PAYABLE-FINANCE DEPT"</f>
        <v>ACCOUNTS PAYABLE-FINANCE DEPT</v>
      </c>
      <c r="AC27" s="37">
        <f>IFERROR(AD27/AA27,0)</f>
        <v>921.64</v>
      </c>
      <c r="AD27" s="37">
        <v>921.64</v>
      </c>
      <c r="AE27" s="63" t="str">
        <f>"-"</f>
        <v>-</v>
      </c>
      <c r="AF27" s="37">
        <v>921.64</v>
      </c>
      <c r="AG27" s="63" t="s">
        <v>95</v>
      </c>
      <c r="AH27" s="67" t="str">
        <f>"SAL MOHAN KUMAR PATRO(SYNAPXE)_x000D_SYNAPXE PTE. LTD. 6 SERANGOON NORTH AVE 5, #01-01/02 SINGAPORE 554910_x000D_SAL MOHAN KUMAR PATRO_x000D_TEL: 93846950_x000D_FAX: _x000D_EMAIL: sal.mohan.kumar.patro@synapxe.sg"</f>
        <v>SAL MOHAN KUMAR PATRO(SYNAPXE)_x000D_SYNAPXE PTE. LTD. 6 SERANGOON NORTH AVE 5, #01-01/02 SINGAPORE 554910_x000D_SAL MOHAN KUMAR PATRO_x000D_TEL: 93846950_x000D_FAX: _x000D_EMAIL: sal.mohan.kumar.patro@synapxe.sg</v>
      </c>
      <c r="AI27" s="18"/>
      <c r="AJ27" s="63" t="s">
        <v>96</v>
      </c>
      <c r="AK27" s="4" t="str">
        <f>"MSL5D-00161GLP"</f>
        <v>MSL5D-00161GLP</v>
      </c>
      <c r="AL27" s="4" t="str">
        <f>"MS VSTSTPROWMSDN ALNG LICSAPK MVL"</f>
        <v>MS VSTSTPROWMSDN ALNG LICSAPK MVL</v>
      </c>
      <c r="AM27" s="75" t="s">
        <v>767</v>
      </c>
      <c r="AN27" s="4" t="s">
        <v>764</v>
      </c>
      <c r="AO27" s="4" t="s">
        <v>765</v>
      </c>
      <c r="AP27" s="4" t="s">
        <v>776</v>
      </c>
    </row>
    <row r="28" spans="1:42">
      <c r="A28" s="1" t="s">
        <v>136</v>
      </c>
      <c r="B28" s="1" t="str">
        <f t="shared" si="0"/>
        <v>Show</v>
      </c>
      <c r="C28" s="4" t="s">
        <v>48</v>
      </c>
      <c r="E28" s="13" t="str">
        <f>"""UICACS"","""",""SQL="",""2=DOCNUM"",""33035795"",""14=CUSTREF"",""8000008033"",""14=U_CUSTREF"",""8000008033"",""15=DOCDATE"",""2/7/2024"",""15=TAXDATE"",""2/7/2024"",""14=CARDCODE"",""CI0099-SGD"",""14=CARDNAME"",""SYNAPXE PTE. LTD."",""14=ITEMCODE"",""MS77D-00110GLP"",""14=ITEMNAME"",""MS VS"&amp;"PROwMSDN ALNG LICSAPk MVL"",""10=QUANTITY"",""1.000000"",""14=U_PONO"",""941790A"",""15=U_PODATE"",""17/2/2023"",""10=U_TLINTCOS"",""0.000000"",""2=SLPCODE"",""132"",""14=SLPNAME"",""E0001-CS"",""14=MEMO"",""WENDY KUM CHIOU SZE"",""14=CONTACTNAME"",""E-INVOICE(AP DIRECT)"",""10=LINETOTAL"""&amp;",""499.500000"",""14=U_ENR"","""",""14=U_MSENR"",""S7138270"",""14=U_MSPCN"",""AD5A91AA"",""14=ADDRESS2"",""NANDINI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nan"&amp;"dini.sivasubramaniam@synapxe.sg"""</f>
        <v>"UICACS","","SQL=","2=DOCNUM","33035795","14=CUSTREF","8000008033","14=U_CUSTREF","8000008033","15=DOCDATE","2/7/2024","15=TAXDATE","2/7/2024","14=CARDCODE","CI0099-SGD","14=CARDNAME","SYNAPXE PTE. LTD.","14=ITEMCODE","MS77D-00110GLP","14=ITEMNAME","MS VSPROwMSDN ALNG LICSAPk MVL","10=QUANTITY","1.000000","14=U_PONO","941790A","15=U_PODATE","17/2/2023","10=U_TLINTCOS","0.000000","2=SLPCODE","132","14=SLPNAME","E0001-CS","14=MEMO","WENDY KUM CHIOU SZE","14=CONTACTNAME","E-INVOICE(AP DIRECT)","10=LINETOTAL","499.500000","14=U_ENR","","14=U_MSENR","S7138270","14=U_MSPCN","AD5A91AA","14=ADDRESS2","NANDINI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K28" s="4">
        <f>MONTH(N28)</f>
        <v>7</v>
      </c>
      <c r="L28" s="4">
        <f>YEAR(N28)</f>
        <v>2024</v>
      </c>
      <c r="M28" s="4">
        <v>33035795</v>
      </c>
      <c r="N28" s="38">
        <v>45475</v>
      </c>
      <c r="O28" s="4" t="str">
        <f>"S7138270"</f>
        <v>S7138270</v>
      </c>
      <c r="P28" s="4" t="str">
        <f>"AD5A91AA"</f>
        <v>AD5A91AA</v>
      </c>
      <c r="Q28" s="4" t="str">
        <f>"CI0099-SGD"</f>
        <v>CI0099-SGD</v>
      </c>
      <c r="R28" s="4" t="str">
        <f>"SYNAPXE PTE. LTD."</f>
        <v>SYNAPXE PTE. LTD.</v>
      </c>
      <c r="S28" s="50" t="str">
        <f>"941790A"</f>
        <v>941790A</v>
      </c>
      <c r="T28" s="50">
        <v>44974</v>
      </c>
      <c r="U28" s="50" t="str">
        <f>"8000008033"</f>
        <v>8000008033</v>
      </c>
      <c r="V28" s="50">
        <v>45475</v>
      </c>
      <c r="W28" s="51">
        <f>SUM(N28-T28)</f>
        <v>501</v>
      </c>
      <c r="X28" s="65" t="str">
        <f>"MS77D-00110GLP"</f>
        <v>MS77D-00110GLP</v>
      </c>
      <c r="Y28" s="65" t="str">
        <f>"MS VSPROwMSDN ALNG LICSAPk MVL"</f>
        <v>MS VSPROwMSDN ALNG LICSAPk MVL</v>
      </c>
      <c r="Z28" s="65" t="str">
        <f>"WENDY KUM CHIOU SZE"</f>
        <v>WENDY KUM CHIOU SZE</v>
      </c>
      <c r="AA28" s="60">
        <v>1</v>
      </c>
      <c r="AB28" s="65" t="str">
        <f>"E-INVOICE(AP DIRECT)"</f>
        <v>E-INVOICE(AP DIRECT)</v>
      </c>
      <c r="AC28" s="37">
        <f>IFERROR(AD28/AA28,0)</f>
        <v>499.5</v>
      </c>
      <c r="AD28" s="37">
        <v>499.5</v>
      </c>
      <c r="AE28" s="63" t="str">
        <f>"-"</f>
        <v>-</v>
      </c>
      <c r="AF28" s="37">
        <v>499.5</v>
      </c>
      <c r="AG28" s="63" t="s">
        <v>95</v>
      </c>
      <c r="AH28" s="67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28" s="18"/>
      <c r="AJ28" s="63" t="s">
        <v>96</v>
      </c>
      <c r="AK28" s="4" t="str">
        <f>"MS77D-00110GLP"</f>
        <v>MS77D-00110GLP</v>
      </c>
      <c r="AL28" s="4" t="str">
        <f>"MS VSPROwMSDN ALNG LICSAPk MVL"</f>
        <v>MS VSPROwMSDN ALNG LICSAPk MVL</v>
      </c>
      <c r="AM28" s="75" t="s">
        <v>767</v>
      </c>
      <c r="AN28" s="4" t="s">
        <v>764</v>
      </c>
      <c r="AO28" s="4" t="s">
        <v>765</v>
      </c>
      <c r="AP28" s="4" t="s">
        <v>766</v>
      </c>
    </row>
    <row r="29" spans="1:42">
      <c r="A29" s="1" t="s">
        <v>136</v>
      </c>
      <c r="B29" s="1" t="str">
        <f t="shared" si="0"/>
        <v>Show</v>
      </c>
      <c r="C29" s="4" t="s">
        <v>48</v>
      </c>
      <c r="E29" s="13" t="str">
        <f>"""UICACS"","""",""SQL="",""2=DOCNUM"",""33035795"",""14=CUSTREF"",""8000008033"",""14=U_CUSTREF"",""8000008033"",""15=DOCDATE"",""2/7/2024"",""15=TAXDATE"",""2/7/2024"",""14=CARDCODE"",""CI0099-SGD"",""14=CARDNAME"",""SYNAPXE PTE. LTD."",""14=ITEMCODE"",""MS77D-00110GLP"",""14=ITEMNAME"",""MS VS"&amp;"PROwMSDN ALNG LICSAPk MVL"",""10=QUANTITY"",""9.000000"",""14=U_PONO"",""941790A"",""15=U_PODATE"",""17/2/2023"",""10=U_TLINTCOS"",""0.000000"",""2=SLPCODE"",""132"",""14=SLPNAME"",""E0001-CS"",""14=MEMO"",""WENDY KUM CHIOU SZE"",""14=CONTACTNAME"",""E-INVOICE(AP DIRECT)"",""10=LINETOTAL"""&amp;",""4495.410000"",""14=U_ENR"","""",""14=U_MSENR"",""S7138270"",""14=U_MSPCN"",""AD5A91AA"",""14=ADDRESS2"",""NANDINI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na"&amp;"ndini.sivasubramaniam@synapxe.sg"""</f>
        <v>"UICACS","","SQL=","2=DOCNUM","33035795","14=CUSTREF","8000008033","14=U_CUSTREF","8000008033","15=DOCDATE","2/7/2024","15=TAXDATE","2/7/2024","14=CARDCODE","CI0099-SGD","14=CARDNAME","SYNAPXE PTE. LTD.","14=ITEMCODE","MS77D-00110GLP","14=ITEMNAME","MS VSPROwMSDN ALNG LICSAPk MVL","10=QUANTITY","9.000000","14=U_PONO","941790A","15=U_PODATE","17/2/2023","10=U_TLINTCOS","0.000000","2=SLPCODE","132","14=SLPNAME","E0001-CS","14=MEMO","WENDY KUM CHIOU SZE","14=CONTACTNAME","E-INVOICE(AP DIRECT)","10=LINETOTAL","4495.410000","14=U_ENR","","14=U_MSENR","S7138270","14=U_MSPCN","AD5A91AA","14=ADDRESS2","NANDINI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K29" s="4">
        <f>MONTH(N29)</f>
        <v>7</v>
      </c>
      <c r="L29" s="4">
        <f>YEAR(N29)</f>
        <v>2024</v>
      </c>
      <c r="M29" s="4">
        <v>33035795</v>
      </c>
      <c r="N29" s="38">
        <v>45475</v>
      </c>
      <c r="O29" s="4" t="str">
        <f>"S7138270"</f>
        <v>S7138270</v>
      </c>
      <c r="P29" s="4" t="str">
        <f>"AD5A91AA"</f>
        <v>AD5A91AA</v>
      </c>
      <c r="Q29" s="4" t="str">
        <f>"CI0099-SGD"</f>
        <v>CI0099-SGD</v>
      </c>
      <c r="R29" s="4" t="str">
        <f>"SYNAPXE PTE. LTD."</f>
        <v>SYNAPXE PTE. LTD.</v>
      </c>
      <c r="S29" s="50" t="str">
        <f>"941790A"</f>
        <v>941790A</v>
      </c>
      <c r="T29" s="50">
        <v>44974</v>
      </c>
      <c r="U29" s="50" t="str">
        <f>"8000008033"</f>
        <v>8000008033</v>
      </c>
      <c r="V29" s="50">
        <v>45475</v>
      </c>
      <c r="W29" s="51">
        <f>SUM(N29-T29)</f>
        <v>501</v>
      </c>
      <c r="X29" s="65" t="str">
        <f>"MS77D-00110GLP"</f>
        <v>MS77D-00110GLP</v>
      </c>
      <c r="Y29" s="65" t="str">
        <f>"MS VSPROwMSDN ALNG LICSAPk MVL"</f>
        <v>MS VSPROwMSDN ALNG LICSAPk MVL</v>
      </c>
      <c r="Z29" s="65" t="str">
        <f>"WENDY KUM CHIOU SZE"</f>
        <v>WENDY KUM CHIOU SZE</v>
      </c>
      <c r="AA29" s="60">
        <v>9</v>
      </c>
      <c r="AB29" s="65" t="str">
        <f>"E-INVOICE(AP DIRECT)"</f>
        <v>E-INVOICE(AP DIRECT)</v>
      </c>
      <c r="AC29" s="37">
        <f>IFERROR(AD29/AA29,0)</f>
        <v>499.49</v>
      </c>
      <c r="AD29" s="37">
        <v>4495.41</v>
      </c>
      <c r="AE29" s="63" t="str">
        <f>"-"</f>
        <v>-</v>
      </c>
      <c r="AF29" s="37">
        <v>4495.41</v>
      </c>
      <c r="AG29" s="63" t="s">
        <v>95</v>
      </c>
      <c r="AH29" s="67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29" s="18"/>
      <c r="AJ29" s="63" t="s">
        <v>96</v>
      </c>
      <c r="AK29" s="4" t="str">
        <f>"MS77D-00110GLP"</f>
        <v>MS77D-00110GLP</v>
      </c>
      <c r="AL29" s="4" t="str">
        <f>"MS VSPROwMSDN ALNG LICSAPk MVL"</f>
        <v>MS VSPROwMSDN ALNG LICSAPk MVL</v>
      </c>
      <c r="AM29" s="75" t="s">
        <v>767</v>
      </c>
      <c r="AN29" s="4" t="s">
        <v>764</v>
      </c>
      <c r="AO29" s="4" t="s">
        <v>765</v>
      </c>
      <c r="AP29" s="4" t="s">
        <v>766</v>
      </c>
    </row>
    <row r="30" spans="1:42">
      <c r="A30" s="1" t="s">
        <v>136</v>
      </c>
      <c r="B30" s="1" t="str">
        <f t="shared" si="0"/>
        <v>Show</v>
      </c>
      <c r="C30" s="4" t="s">
        <v>48</v>
      </c>
      <c r="E30" s="13" t="str">
        <f>"""UICACS"","""",""SQL="",""2=DOCNUM"",""33035795"",""14=CUSTREF"",""8000008033"",""14=U_CUSTREF"",""8000008033"",""15=DOCDATE"",""2/7/2024"",""15=TAXDATE"",""2/7/2024"",""14=CARDCODE"",""CI0099-SGD"",""14=CARDNAME"",""SYNAPXE PTE. LTD."",""14=ITEMCODE"",""MS77D-00111GLP"",""14=ITEMNAME"",""MS VS"&amp;"PROwMSDN ALNG SA MVL"",""10=QUANTITY"",""20.000000"",""14=U_PONO"",""941790A"",""15=U_PODATE"",""17/2/2023"",""10=U_TLINTCOS"",""0.000000"",""2=SLPCODE"",""132"",""14=SLPNAME"",""E0001-CS"",""14=MEMO"",""WENDY KUM CHIOU SZE"",""14=CONTACTNAME"",""E-INVOICE(AP DIRECT)"",""10=LINETOTAL"",""84"&amp;"57.600000"",""14=U_ENR"","""",""14=U_MSENR"",""S7138270"",""14=U_MSPCN"",""AD5A91AA"",""14=ADDRESS2"",""NANDINI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nandin"&amp;"i.sivasubramaniam@synapxe.sg"""</f>
        <v>"UICACS","","SQL=","2=DOCNUM","33035795","14=CUSTREF","8000008033","14=U_CUSTREF","8000008033","15=DOCDATE","2/7/2024","15=TAXDATE","2/7/2024","14=CARDCODE","CI0099-SGD","14=CARDNAME","SYNAPXE PTE. LTD.","14=ITEMCODE","MS77D-00111GLP","14=ITEMNAME","MS VSPROwMSDN ALNG SA MVL","10=QUANTITY","20.000000","14=U_PONO","941790A","15=U_PODATE","17/2/2023","10=U_TLINTCOS","0.000000","2=SLPCODE","132","14=SLPNAME","E0001-CS","14=MEMO","WENDY KUM CHIOU SZE","14=CONTACTNAME","E-INVOICE(AP DIRECT)","10=LINETOTAL","8457.600000","14=U_ENR","","14=U_MSENR","S7138270","14=U_MSPCN","AD5A91AA","14=ADDRESS2","NANDINI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K30" s="4">
        <f>MONTH(N30)</f>
        <v>7</v>
      </c>
      <c r="L30" s="4">
        <f>YEAR(N30)</f>
        <v>2024</v>
      </c>
      <c r="M30" s="4">
        <v>33035795</v>
      </c>
      <c r="N30" s="38">
        <v>45475</v>
      </c>
      <c r="O30" s="4" t="str">
        <f>"S7138270"</f>
        <v>S7138270</v>
      </c>
      <c r="P30" s="4" t="str">
        <f>"AD5A91AA"</f>
        <v>AD5A91AA</v>
      </c>
      <c r="Q30" s="4" t="str">
        <f>"CI0099-SGD"</f>
        <v>CI0099-SGD</v>
      </c>
      <c r="R30" s="4" t="str">
        <f>"SYNAPXE PTE. LTD."</f>
        <v>SYNAPXE PTE. LTD.</v>
      </c>
      <c r="S30" s="50" t="str">
        <f>"941790A"</f>
        <v>941790A</v>
      </c>
      <c r="T30" s="50">
        <v>44974</v>
      </c>
      <c r="U30" s="50" t="str">
        <f>"8000008033"</f>
        <v>8000008033</v>
      </c>
      <c r="V30" s="50">
        <v>45475</v>
      </c>
      <c r="W30" s="51">
        <f>SUM(N30-T30)</f>
        <v>501</v>
      </c>
      <c r="X30" s="65" t="str">
        <f>"MS77D-00111GLP"</f>
        <v>MS77D-00111GLP</v>
      </c>
      <c r="Y30" s="65" t="str">
        <f>"MS VSPROwMSDN ALNG SA MVL"</f>
        <v>MS VSPROwMSDN ALNG SA MVL</v>
      </c>
      <c r="Z30" s="65" t="str">
        <f>"WENDY KUM CHIOU SZE"</f>
        <v>WENDY KUM CHIOU SZE</v>
      </c>
      <c r="AA30" s="60">
        <v>20</v>
      </c>
      <c r="AB30" s="65" t="str">
        <f>"E-INVOICE(AP DIRECT)"</f>
        <v>E-INVOICE(AP DIRECT)</v>
      </c>
      <c r="AC30" s="37">
        <f>IFERROR(AD30/AA30,0)</f>
        <v>422.88</v>
      </c>
      <c r="AD30" s="37">
        <v>8457.6</v>
      </c>
      <c r="AE30" s="63" t="str">
        <f>"-"</f>
        <v>-</v>
      </c>
      <c r="AF30" s="37">
        <v>8457.6</v>
      </c>
      <c r="AG30" s="63" t="s">
        <v>95</v>
      </c>
      <c r="AH30" s="67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30" s="18"/>
      <c r="AJ30" s="63" t="s">
        <v>96</v>
      </c>
      <c r="AK30" s="4" t="str">
        <f>"MS77D-00111GLP"</f>
        <v>MS77D-00111GLP</v>
      </c>
      <c r="AL30" s="4" t="str">
        <f>"MS VSPROwMSDN ALNG SA MVL"</f>
        <v>MS VSPROwMSDN ALNG SA MVL</v>
      </c>
      <c r="AM30" s="3" t="s">
        <v>763</v>
      </c>
      <c r="AN30" s="4" t="s">
        <v>764</v>
      </c>
      <c r="AO30" s="4" t="s">
        <v>765</v>
      </c>
      <c r="AP30" s="4" t="s">
        <v>766</v>
      </c>
    </row>
    <row r="31" spans="1:42" ht="16.5" customHeight="1">
      <c r="A31" s="1" t="s">
        <v>136</v>
      </c>
      <c r="B31" s="1" t="str">
        <f t="shared" si="0"/>
        <v>Show</v>
      </c>
      <c r="C31" s="4" t="s">
        <v>48</v>
      </c>
      <c r="E31" s="13" t="str">
        <f>"""UICACS"","""",""SQL="",""2=DOCNUM"",""33035795"",""14=CUSTREF"",""8000008033"",""14=U_CUSTREF"",""8000008033"",""15=DOCDATE"",""2/7/2024"",""15=TAXDATE"",""2/7/2024"",""14=CARDCODE"",""CI0099-SGD"",""14=CARDNAME"",""SYNAPXE PTE. LTD."",""14=ITEMCODE"",""MS77D-00111GLP"",""14=ITEMNAME"",""MS VS"&amp;"PROwMSDN ALNG SA MVL"",""10=QUANTITY"",""1.000000"",""14=U_PONO"",""941790A"",""15=U_PODATE"",""17/2/2023"",""10=U_TLINTCOS"",""0.000000"",""2=SLPCODE"",""132"",""14=SLPNAME"",""E0001-CS"",""14=MEMO"",""WENDY KUM CHIOU SZE"",""14=CONTACTNAME"",""E-INVOICE(AP DIRECT)"",""10=LINETOTAL"",""422"&amp;".790000"",""14=U_ENR"","""",""14=U_MSENR"",""S7138270"",""14=U_MSPCN"",""AD5A91AA"",""14=ADDRESS2"",""NANDINI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nandini."&amp;"sivasubramaniam@synapxe.sg"""</f>
        <v>"UICACS","","SQL=","2=DOCNUM","33035795","14=CUSTREF","8000008033","14=U_CUSTREF","8000008033","15=DOCDATE","2/7/2024","15=TAXDATE","2/7/2024","14=CARDCODE","CI0099-SGD","14=CARDNAME","SYNAPXE PTE. LTD.","14=ITEMCODE","MS77D-00111GLP","14=ITEMNAME","MS VSPROwMSDN ALNG SA MVL","10=QUANTITY","1.000000","14=U_PONO","941790A","15=U_PODATE","17/2/2023","10=U_TLINTCOS","0.000000","2=SLPCODE","132","14=SLPNAME","E0001-CS","14=MEMO","WENDY KUM CHIOU SZE","14=CONTACTNAME","E-INVOICE(AP DIRECT)","10=LINETOTAL","422.790000","14=U_ENR","","14=U_MSENR","S7138270","14=U_MSPCN","AD5A91AA","14=ADDRESS2","NANDINI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K31" s="4">
        <f>MONTH(N31)</f>
        <v>7</v>
      </c>
      <c r="L31" s="4">
        <f>YEAR(N31)</f>
        <v>2024</v>
      </c>
      <c r="M31" s="4">
        <v>33035795</v>
      </c>
      <c r="N31" s="38">
        <v>45475</v>
      </c>
      <c r="O31" s="4" t="str">
        <f>"S7138270"</f>
        <v>S7138270</v>
      </c>
      <c r="P31" s="4" t="str">
        <f>"AD5A91AA"</f>
        <v>AD5A91AA</v>
      </c>
      <c r="Q31" s="4" t="str">
        <f>"CI0099-SGD"</f>
        <v>CI0099-SGD</v>
      </c>
      <c r="R31" s="4" t="str">
        <f>"SYNAPXE PTE. LTD."</f>
        <v>SYNAPXE PTE. LTD.</v>
      </c>
      <c r="S31" s="50" t="str">
        <f>"941790A"</f>
        <v>941790A</v>
      </c>
      <c r="T31" s="50">
        <v>44974</v>
      </c>
      <c r="U31" s="50" t="str">
        <f>"8000008033"</f>
        <v>8000008033</v>
      </c>
      <c r="V31" s="50">
        <v>45475</v>
      </c>
      <c r="W31" s="51">
        <f>SUM(N31-T31)</f>
        <v>501</v>
      </c>
      <c r="X31" s="65" t="str">
        <f>"MS77D-00111GLP"</f>
        <v>MS77D-00111GLP</v>
      </c>
      <c r="Y31" s="65" t="str">
        <f>"MS VSPROwMSDN ALNG SA MVL"</f>
        <v>MS VSPROwMSDN ALNG SA MVL</v>
      </c>
      <c r="Z31" s="65" t="str">
        <f>"WENDY KUM CHIOU SZE"</f>
        <v>WENDY KUM CHIOU SZE</v>
      </c>
      <c r="AA31" s="60">
        <v>1</v>
      </c>
      <c r="AB31" s="65" t="str">
        <f>"E-INVOICE(AP DIRECT)"</f>
        <v>E-INVOICE(AP DIRECT)</v>
      </c>
      <c r="AC31" s="37">
        <f>IFERROR(AD31/AA31,0)</f>
        <v>422.79</v>
      </c>
      <c r="AD31" s="37">
        <v>422.79</v>
      </c>
      <c r="AE31" s="63" t="str">
        <f>"-"</f>
        <v>-</v>
      </c>
      <c r="AF31" s="37">
        <v>422.79</v>
      </c>
      <c r="AG31" s="63" t="s">
        <v>95</v>
      </c>
      <c r="AH31" s="67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31" s="18"/>
      <c r="AJ31" s="63" t="s">
        <v>96</v>
      </c>
      <c r="AK31" s="4" t="str">
        <f>"MS77D-00111GLP"</f>
        <v>MS77D-00111GLP</v>
      </c>
      <c r="AL31" s="4" t="str">
        <f>"MS VSPROwMSDN ALNG SA MVL"</f>
        <v>MS VSPROwMSDN ALNG SA MVL</v>
      </c>
      <c r="AM31" s="3" t="s">
        <v>763</v>
      </c>
      <c r="AN31" s="4" t="s">
        <v>764</v>
      </c>
      <c r="AO31" s="4" t="s">
        <v>765</v>
      </c>
      <c r="AP31" s="4" t="s">
        <v>766</v>
      </c>
    </row>
    <row r="32" spans="1:42" s="76" customFormat="1">
      <c r="A32" s="76" t="s">
        <v>136</v>
      </c>
      <c r="B32" s="76" t="str">
        <f t="shared" si="0"/>
        <v>Show</v>
      </c>
      <c r="C32" s="76" t="s">
        <v>48</v>
      </c>
      <c r="E32" s="76" t="str">
        <f>"""UICACS"","""",""SQL="",""2=DOCNUM"",""33035796"",""14=CUSTREF"",""8000008754"",""14=U_CUSTREF"",""8000008754"",""15=DOCDATE"",""2/7/2024"",""15=TAXDATE"",""2/7/2024"",""14=CARDCODE"",""CI0099-SGD"",""14=CARDNAME"",""SYNAPXE PTE. LTD."",""14=ITEMCODE"",""MSMX3-00117GLP"",""14=ITEMNAME"",""MS VS"&amp;"ENTSUBMSDN ALNG SA MVL"",""10=QUANTITY"",""6.000000"",""14=U_PONO"",""946096/A"",""15=U_PODATE"",""2/10/2023"",""10=U_TLINTCOS"",""0.000000"",""2=SLPCODE"",""132"",""14=SLPNAME"",""E0001-CS"",""14=MEMO"",""WENDY KUM CHIOU SZE"",""14=CONTACTNAME"",""E-INVOICE(AP DIRECT)"",""10=LINETOTAL"","""&amp;"8657.220000"",""14=U_ENR"","""",""14=U_MSENR"",""S7138270"",""14=U_MSPCN"",""AD5A91AA"",""14=ADDRESS2"",""NANDINI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f>
        <v>"UICACS","","SQL=","2=DOCNUM","33035796","14=CUSTREF","8000008754","14=U_CUSTREF","8000008754","15=DOCDATE","2/7/2024","15=TAXDATE","2/7/2024","14=CARDCODE","CI0099-SGD","14=CARDNAME","SYNAPXE PTE. LTD.","14=ITEMCODE","MSMX3-00117GLP","14=ITEMNAME","MS VSENTSUBMSDN ALNG SA MVL","10=QUANTITY","6.000000","14=U_PONO","946096/A","15=U_PODATE","2/10/2023","10=U_TLINTCOS","0.000000","2=SLPCODE","132","14=SLPNAME","E0001-CS","14=MEMO","WENDY KUM CHIOU SZE","14=CONTACTNAME","E-INVOICE(AP DIRECT)","10=LINETOTAL","8657.220000","14=U_ENR","","14=U_MSENR","S7138270","14=U_MSPCN","AD5A91AA","14=ADDRESS2","NANDINI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I32" s="77"/>
      <c r="K32" s="76">
        <f>MONTH(N32)</f>
        <v>7</v>
      </c>
      <c r="L32" s="76">
        <f>YEAR(N32)</f>
        <v>2024</v>
      </c>
      <c r="M32" s="76">
        <v>33035796</v>
      </c>
      <c r="N32" s="78">
        <v>45475</v>
      </c>
      <c r="O32" s="76" t="str">
        <f>"S7138270"</f>
        <v>S7138270</v>
      </c>
      <c r="P32" s="76" t="str">
        <f>"AD5A91AA"</f>
        <v>AD5A91AA</v>
      </c>
      <c r="Q32" s="76" t="str">
        <f>"CI0099-SGD"</f>
        <v>CI0099-SGD</v>
      </c>
      <c r="R32" s="76" t="str">
        <f>"SYNAPXE PTE. LTD."</f>
        <v>SYNAPXE PTE. LTD.</v>
      </c>
      <c r="S32" s="79" t="str">
        <f>"946096/A"</f>
        <v>946096/A</v>
      </c>
      <c r="T32" s="79">
        <v>45201</v>
      </c>
      <c r="U32" s="79" t="str">
        <f>"8000008754"</f>
        <v>8000008754</v>
      </c>
      <c r="V32" s="79">
        <v>45475</v>
      </c>
      <c r="W32" s="80">
        <f>SUM(N32-T32)</f>
        <v>274</v>
      </c>
      <c r="X32" s="81" t="str">
        <f>"MSMX3-00117GLP"</f>
        <v>MSMX3-00117GLP</v>
      </c>
      <c r="Y32" s="81" t="str">
        <f>"MS VSENTSUBMSDN ALNG SA MVL"</f>
        <v>MS VSENTSUBMSDN ALNG SA MVL</v>
      </c>
      <c r="Z32" s="81" t="str">
        <f>"WENDY KUM CHIOU SZE"</f>
        <v>WENDY KUM CHIOU SZE</v>
      </c>
      <c r="AA32" s="82">
        <v>6</v>
      </c>
      <c r="AB32" s="81" t="str">
        <f>"E-INVOICE(AP DIRECT)"</f>
        <v>E-INVOICE(AP DIRECT)</v>
      </c>
      <c r="AC32" s="83">
        <f>IFERROR(AD32/AA32,0)</f>
        <v>1442.87</v>
      </c>
      <c r="AD32" s="83">
        <v>8657.2199999999993</v>
      </c>
      <c r="AE32" s="84" t="str">
        <f>"-"</f>
        <v>-</v>
      </c>
      <c r="AF32" s="83">
        <v>8657.2199999999993</v>
      </c>
      <c r="AG32" s="84" t="s">
        <v>95</v>
      </c>
      <c r="AH32" s="85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32" s="86"/>
      <c r="AJ32" s="84" t="s">
        <v>96</v>
      </c>
      <c r="AK32" s="76" t="str">
        <f>"MSMX3-00117GLP"</f>
        <v>MSMX3-00117GLP</v>
      </c>
      <c r="AL32" s="76" t="str">
        <f>"MS VSENTSUBMSDN ALNG SA MVL"</f>
        <v>MS VSENTSUBMSDN ALNG SA MVL</v>
      </c>
      <c r="AM32" s="87" t="s">
        <v>763</v>
      </c>
      <c r="AN32" s="76" t="s">
        <v>764</v>
      </c>
      <c r="AO32" s="76" t="s">
        <v>765</v>
      </c>
      <c r="AP32" s="76" t="s">
        <v>768</v>
      </c>
    </row>
    <row r="33" spans="1:49" s="76" customFormat="1">
      <c r="A33" s="76" t="s">
        <v>136</v>
      </c>
      <c r="B33" s="76" t="str">
        <f t="shared" si="0"/>
        <v>Show</v>
      </c>
      <c r="C33" s="76" t="s">
        <v>48</v>
      </c>
      <c r="E33" s="76" t="str">
        <f>"""UICACS"","""",""SQL="",""2=DOCNUM"",""33035796"",""14=CUSTREF"",""8000008754"",""14=U_CUSTREF"",""8000008754"",""15=DOCDATE"",""2/7/2024"",""15=TAXDATE"",""2/7/2024"",""14=CARDCODE"",""CI0099-SGD"",""14=CARDNAME"",""SYNAPXE PTE. LTD."",""14=ITEMCODE"",""MSMX3-00117GLP"",""14=ITEMNAME"",""MS VS"&amp;"ENTSUBMSDN ALNG SA MVL"",""10=QUANTITY"",""1.000000"",""14=U_PONO"",""946096/A"",""15=U_PODATE"",""2/10/2023"",""10=U_TLINTCOS"",""0.000000"",""2=SLPCODE"",""132"",""14=SLPNAME"",""E0001-CS"",""14=MEMO"",""WENDY KUM CHIOU SZE"",""14=CONTACTNAME"",""E-INVOICE(AP DIRECT)"",""10=LINETOTAL"","""&amp;"1442.540000"",""14=U_ENR"","""",""14=U_MSENR"",""S7138270"",""14=U_MSPCN"",""AD5A91AA"",""14=ADDRESS2"",""NANDINI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f>
        <v>"UICACS","","SQL=","2=DOCNUM","33035796","14=CUSTREF","8000008754","14=U_CUSTREF","8000008754","15=DOCDATE","2/7/2024","15=TAXDATE","2/7/2024","14=CARDCODE","CI0099-SGD","14=CARDNAME","SYNAPXE PTE. LTD.","14=ITEMCODE","MSMX3-00117GLP","14=ITEMNAME","MS VSENTSUBMSDN ALNG SA MVL","10=QUANTITY","1.000000","14=U_PONO","946096/A","15=U_PODATE","2/10/2023","10=U_TLINTCOS","0.000000","2=SLPCODE","132","14=SLPNAME","E0001-CS","14=MEMO","WENDY KUM CHIOU SZE","14=CONTACTNAME","E-INVOICE(AP DIRECT)","10=LINETOTAL","1442.540000","14=U_ENR","","14=U_MSENR","S7138270","14=U_MSPCN","AD5A91AA","14=ADDRESS2","NANDINI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I33" s="77"/>
      <c r="K33" s="76">
        <f>MONTH(N33)</f>
        <v>7</v>
      </c>
      <c r="L33" s="76">
        <f>YEAR(N33)</f>
        <v>2024</v>
      </c>
      <c r="M33" s="76">
        <v>33035796</v>
      </c>
      <c r="N33" s="78">
        <v>45475</v>
      </c>
      <c r="O33" s="76" t="str">
        <f>"S7138270"</f>
        <v>S7138270</v>
      </c>
      <c r="P33" s="76" t="str">
        <f>"AD5A91AA"</f>
        <v>AD5A91AA</v>
      </c>
      <c r="Q33" s="76" t="str">
        <f>"CI0099-SGD"</f>
        <v>CI0099-SGD</v>
      </c>
      <c r="R33" s="76" t="str">
        <f>"SYNAPXE PTE. LTD."</f>
        <v>SYNAPXE PTE. LTD.</v>
      </c>
      <c r="S33" s="79" t="str">
        <f>"946096/A"</f>
        <v>946096/A</v>
      </c>
      <c r="T33" s="79">
        <v>45201</v>
      </c>
      <c r="U33" s="79" t="str">
        <f>"8000008754"</f>
        <v>8000008754</v>
      </c>
      <c r="V33" s="79">
        <v>45475</v>
      </c>
      <c r="W33" s="80">
        <f>SUM(N33-T33)</f>
        <v>274</v>
      </c>
      <c r="X33" s="81" t="str">
        <f>"MSMX3-00117GLP"</f>
        <v>MSMX3-00117GLP</v>
      </c>
      <c r="Y33" s="81" t="str">
        <f>"MS VSENTSUBMSDN ALNG SA MVL"</f>
        <v>MS VSENTSUBMSDN ALNG SA MVL</v>
      </c>
      <c r="Z33" s="81" t="str">
        <f>"WENDY KUM CHIOU SZE"</f>
        <v>WENDY KUM CHIOU SZE</v>
      </c>
      <c r="AA33" s="82">
        <v>1</v>
      </c>
      <c r="AB33" s="81" t="str">
        <f>"E-INVOICE(AP DIRECT)"</f>
        <v>E-INVOICE(AP DIRECT)</v>
      </c>
      <c r="AC33" s="83">
        <f>IFERROR(AD33/AA33,0)</f>
        <v>1442.54</v>
      </c>
      <c r="AD33" s="83">
        <v>1442.54</v>
      </c>
      <c r="AE33" s="84" t="str">
        <f>"-"</f>
        <v>-</v>
      </c>
      <c r="AF33" s="83">
        <v>1442.54</v>
      </c>
      <c r="AG33" s="84" t="s">
        <v>95</v>
      </c>
      <c r="AH33" s="85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33" s="86"/>
      <c r="AJ33" s="84" t="s">
        <v>96</v>
      </c>
      <c r="AK33" s="76" t="str">
        <f>"MSMX3-00117GLP"</f>
        <v>MSMX3-00117GLP</v>
      </c>
      <c r="AL33" s="76" t="str">
        <f>"MS VSENTSUBMSDN ALNG SA MVL"</f>
        <v>MS VSENTSUBMSDN ALNG SA MVL</v>
      </c>
      <c r="AM33" s="87" t="s">
        <v>763</v>
      </c>
      <c r="AN33" s="76" t="s">
        <v>764</v>
      </c>
      <c r="AO33" s="76" t="s">
        <v>765</v>
      </c>
      <c r="AP33" s="76" t="s">
        <v>768</v>
      </c>
    </row>
    <row r="34" spans="1:49" s="76" customFormat="1">
      <c r="A34" s="76" t="s">
        <v>136</v>
      </c>
      <c r="B34" s="76" t="str">
        <f t="shared" si="0"/>
        <v>Show</v>
      </c>
      <c r="C34" s="76" t="s">
        <v>48</v>
      </c>
      <c r="E34" s="76" t="str">
        <f>"""UICACS"","""",""SQL="",""2=DOCNUM"",""33035796"",""14=CUSTREF"",""8000008754"",""14=U_CUSTREF"",""8000008754"",""15=DOCDATE"",""2/7/2024"",""15=TAXDATE"",""2/7/2024"",""14=CARDCODE"",""CI0099-SGD"",""14=CARDNAME"",""SYNAPXE PTE. LTD."",""14=ITEMCODE"",""MS77D-00111GLP"",""14=ITEMNAME"",""MS VS"&amp;"PROwMSDN ALNG SA MVL"",""10=QUANTITY"",""31.000000"",""14=U_PONO"",""946096/A"",""15=U_PODATE"",""2/10/2023"",""10=U_TLINTCOS"",""0.000000"",""2=SLPCODE"",""132"",""14=SLPNAME"",""E0001-CS"",""14=MEMO"",""WENDY KUM CHIOU SZE"",""14=CONTACTNAME"",""E-INVOICE(AP DIRECT)"",""10=LINETOTAL"",""1"&amp;"2808.270000"",""14=U_ENR"","""",""14=U_MSENR"",""S7138270"",""14=U_MSPCN"",""AD5A91AA"",""14=ADDRESS2"",""NANDINI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f>
        <v>"UICACS","","SQL=","2=DOCNUM","33035796","14=CUSTREF","8000008754","14=U_CUSTREF","8000008754","15=DOCDATE","2/7/2024","15=TAXDATE","2/7/2024","14=CARDCODE","CI0099-SGD","14=CARDNAME","SYNAPXE PTE. LTD.","14=ITEMCODE","MS77D-00111GLP","14=ITEMNAME","MS VSPROwMSDN ALNG SA MVL","10=QUANTITY","31.000000","14=U_PONO","946096/A","15=U_PODATE","2/10/2023","10=U_TLINTCOS","0.000000","2=SLPCODE","132","14=SLPNAME","E0001-CS","14=MEMO","WENDY KUM CHIOU SZE","14=CONTACTNAME","E-INVOICE(AP DIRECT)","10=LINETOTAL","12808.270000","14=U_ENR","","14=U_MSENR","S7138270","14=U_MSPCN","AD5A91AA","14=ADDRESS2","NANDINI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I34" s="77"/>
      <c r="K34" s="76">
        <f>MONTH(N34)</f>
        <v>7</v>
      </c>
      <c r="L34" s="76">
        <f>YEAR(N34)</f>
        <v>2024</v>
      </c>
      <c r="M34" s="76">
        <v>33035796</v>
      </c>
      <c r="N34" s="78">
        <v>45475</v>
      </c>
      <c r="O34" s="76" t="str">
        <f>"S7138270"</f>
        <v>S7138270</v>
      </c>
      <c r="P34" s="76" t="str">
        <f>"AD5A91AA"</f>
        <v>AD5A91AA</v>
      </c>
      <c r="Q34" s="76" t="str">
        <f>"CI0099-SGD"</f>
        <v>CI0099-SGD</v>
      </c>
      <c r="R34" s="76" t="str">
        <f>"SYNAPXE PTE. LTD."</f>
        <v>SYNAPXE PTE. LTD.</v>
      </c>
      <c r="S34" s="79" t="str">
        <f>"946096/A"</f>
        <v>946096/A</v>
      </c>
      <c r="T34" s="79">
        <v>45201</v>
      </c>
      <c r="U34" s="79" t="str">
        <f>"8000008754"</f>
        <v>8000008754</v>
      </c>
      <c r="V34" s="79">
        <v>45475</v>
      </c>
      <c r="W34" s="80">
        <f>SUM(N34-T34)</f>
        <v>274</v>
      </c>
      <c r="X34" s="81" t="str">
        <f>"MS77D-00111GLP"</f>
        <v>MS77D-00111GLP</v>
      </c>
      <c r="Y34" s="81" t="str">
        <f>"MS VSPROwMSDN ALNG SA MVL"</f>
        <v>MS VSPROwMSDN ALNG SA MVL</v>
      </c>
      <c r="Z34" s="81" t="str">
        <f>"WENDY KUM CHIOU SZE"</f>
        <v>WENDY KUM CHIOU SZE</v>
      </c>
      <c r="AA34" s="82">
        <v>31</v>
      </c>
      <c r="AB34" s="81" t="str">
        <f>"E-INVOICE(AP DIRECT)"</f>
        <v>E-INVOICE(AP DIRECT)</v>
      </c>
      <c r="AC34" s="83">
        <f>IFERROR(AD34/AA34,0)</f>
        <v>413.17</v>
      </c>
      <c r="AD34" s="83">
        <v>12808.27</v>
      </c>
      <c r="AE34" s="84" t="str">
        <f>"-"</f>
        <v>-</v>
      </c>
      <c r="AF34" s="83">
        <v>12808.27</v>
      </c>
      <c r="AG34" s="84" t="s">
        <v>95</v>
      </c>
      <c r="AH34" s="85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34" s="86"/>
      <c r="AJ34" s="84" t="s">
        <v>96</v>
      </c>
      <c r="AK34" s="76" t="str">
        <f>"MS77D-00111GLP"</f>
        <v>MS77D-00111GLP</v>
      </c>
      <c r="AL34" s="76" t="str">
        <f>"MS VSPROwMSDN ALNG SA MVL"</f>
        <v>MS VSPROwMSDN ALNG SA MVL</v>
      </c>
      <c r="AM34" s="87" t="s">
        <v>763</v>
      </c>
      <c r="AN34" s="76" t="s">
        <v>764</v>
      </c>
      <c r="AO34" s="76" t="s">
        <v>765</v>
      </c>
      <c r="AP34" s="76" t="s">
        <v>768</v>
      </c>
    </row>
    <row r="35" spans="1:49" s="76" customFormat="1">
      <c r="A35" s="76" t="s">
        <v>136</v>
      </c>
      <c r="B35" s="76" t="str">
        <f t="shared" si="0"/>
        <v>Show</v>
      </c>
      <c r="C35" s="76" t="s">
        <v>48</v>
      </c>
      <c r="E35" s="76" t="str">
        <f>"""UICACS"","""",""SQL="",""2=DOCNUM"",""33035796"",""14=CUSTREF"",""8000008754"",""14=U_CUSTREF"",""8000008754"",""15=DOCDATE"",""2/7/2024"",""15=TAXDATE"",""2/7/2024"",""14=CARDCODE"",""CI0099-SGD"",""14=CARDNAME"",""SYNAPXE PTE. LTD."",""14=ITEMCODE"",""MS77D-00111GLP"",""14=ITEMNAME"",""MS VS"&amp;"PROwMSDN ALNG SA MVL"",""10=QUANTITY"",""33.000000"",""14=U_PONO"",""946096/A"",""15=U_PODATE"",""2/10/2023"",""10=U_TLINTCOS"",""0.000000"",""2=SLPCODE"",""132"",""14=SLPNAME"",""E0001-CS"",""14=MEMO"",""WENDY KUM CHIOU SZE"",""14=CONTACTNAME"",""E-INVOICE(AP DIRECT)"",""10=LINETOTAL"",""1"&amp;"3635.270000"",""14=U_ENR"","""",""14=U_MSENR"",""S7138270"",""14=U_MSPCN"",""AD5A91AA"",""14=ADDRESS2"",""NANDINI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nand"&amp;"ini.sivasubramaniam@synapxe.sg"""</f>
        <v>"UICACS","","SQL=","2=DOCNUM","33035796","14=CUSTREF","8000008754","14=U_CUSTREF","8000008754","15=DOCDATE","2/7/2024","15=TAXDATE","2/7/2024","14=CARDCODE","CI0099-SGD","14=CARDNAME","SYNAPXE PTE. LTD.","14=ITEMCODE","MS77D-00111GLP","14=ITEMNAME","MS VSPROwMSDN ALNG SA MVL","10=QUANTITY","33.000000","14=U_PONO","946096/A","15=U_PODATE","2/10/2023","10=U_TLINTCOS","0.000000","2=SLPCODE","132","14=SLPNAME","E0001-CS","14=MEMO","WENDY KUM CHIOU SZE","14=CONTACTNAME","E-INVOICE(AP DIRECT)","10=LINETOTAL","13635.270000","14=U_ENR","","14=U_MSENR","S7138270","14=U_MSPCN","AD5A91AA","14=ADDRESS2","NANDINI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I35" s="77"/>
      <c r="K35" s="76">
        <f>MONTH(N35)</f>
        <v>7</v>
      </c>
      <c r="L35" s="76">
        <f>YEAR(N35)</f>
        <v>2024</v>
      </c>
      <c r="M35" s="76">
        <v>33035796</v>
      </c>
      <c r="N35" s="78">
        <v>45475</v>
      </c>
      <c r="O35" s="76" t="str">
        <f>"S7138270"</f>
        <v>S7138270</v>
      </c>
      <c r="P35" s="76" t="str">
        <f>"AD5A91AA"</f>
        <v>AD5A91AA</v>
      </c>
      <c r="Q35" s="76" t="str">
        <f>"CI0099-SGD"</f>
        <v>CI0099-SGD</v>
      </c>
      <c r="R35" s="76" t="str">
        <f>"SYNAPXE PTE. LTD."</f>
        <v>SYNAPXE PTE. LTD.</v>
      </c>
      <c r="S35" s="79" t="str">
        <f>"946096/A"</f>
        <v>946096/A</v>
      </c>
      <c r="T35" s="79">
        <v>45201</v>
      </c>
      <c r="U35" s="79" t="str">
        <f>"8000008754"</f>
        <v>8000008754</v>
      </c>
      <c r="V35" s="79">
        <v>45475</v>
      </c>
      <c r="W35" s="80">
        <f>SUM(N35-T35)</f>
        <v>274</v>
      </c>
      <c r="X35" s="81" t="str">
        <f>"MS77D-00111GLP"</f>
        <v>MS77D-00111GLP</v>
      </c>
      <c r="Y35" s="81" t="str">
        <f>"MS VSPROwMSDN ALNG SA MVL"</f>
        <v>MS VSPROwMSDN ALNG SA MVL</v>
      </c>
      <c r="Z35" s="81" t="str">
        <f>"WENDY KUM CHIOU SZE"</f>
        <v>WENDY KUM CHIOU SZE</v>
      </c>
      <c r="AA35" s="82">
        <v>33</v>
      </c>
      <c r="AB35" s="81" t="str">
        <f>"E-INVOICE(AP DIRECT)"</f>
        <v>E-INVOICE(AP DIRECT)</v>
      </c>
      <c r="AC35" s="83">
        <f>IFERROR(AD35/AA35,0)</f>
        <v>413.19</v>
      </c>
      <c r="AD35" s="83">
        <v>13635.27</v>
      </c>
      <c r="AE35" s="84" t="str">
        <f>"-"</f>
        <v>-</v>
      </c>
      <c r="AF35" s="83">
        <v>13635.27</v>
      </c>
      <c r="AG35" s="84" t="s">
        <v>95</v>
      </c>
      <c r="AH35" s="85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35" s="86"/>
      <c r="AJ35" s="84" t="s">
        <v>96</v>
      </c>
      <c r="AK35" s="76" t="str">
        <f>"MS77D-00111GLP"</f>
        <v>MS77D-00111GLP</v>
      </c>
      <c r="AL35" s="76" t="str">
        <f>"MS VSPROwMSDN ALNG SA MVL"</f>
        <v>MS VSPROwMSDN ALNG SA MVL</v>
      </c>
      <c r="AM35" s="87" t="s">
        <v>763</v>
      </c>
      <c r="AN35" s="76" t="s">
        <v>764</v>
      </c>
      <c r="AO35" s="76" t="s">
        <v>765</v>
      </c>
      <c r="AP35" s="76" t="s">
        <v>768</v>
      </c>
    </row>
    <row r="36" spans="1:49" s="76" customFormat="1">
      <c r="A36" s="76" t="s">
        <v>136</v>
      </c>
      <c r="B36" s="76" t="str">
        <f t="shared" si="0"/>
        <v>Show</v>
      </c>
      <c r="C36" s="76" t="s">
        <v>48</v>
      </c>
      <c r="E36" s="76" t="str">
        <f>"""UICACS"","""",""SQL="",""2=DOCNUM"",""33035796"",""14=CUSTREF"",""8000008754"",""14=U_CUSTREF"",""8000008754"",""15=DOCDATE"",""2/7/2024"",""15=TAXDATE"",""2/7/2024"",""14=CARDCODE"",""CI0099-SGD"",""14=CARDNAME"",""SYNAPXE PTE. LTD."",""14=ITEMCODE"",""MS77D-00111GLP"",""14=ITEMNAME"",""MS VS"&amp;"PROwMSDN ALNG SA MVL"",""10=QUANTITY"",""1.000000"",""14=U_PONO"",""946096/A"",""15=U_PODATE"",""2/10/2023"",""10=U_TLINTCOS"",""0.000000"",""2=SLPCODE"",""132"",""14=SLPNAME"",""E0001-CS"",""14=MEMO"",""WENDY KUM CHIOU SZE"",""14=CONTACTNAME"",""E-INVOICE(AP DIRECT)"",""10=LINETOTAL"",""41"&amp;"3.160000"",""14=U_ENR"","""",""14=U_MSENR"",""S7138270"",""14=U_MSPCN"",""AD5A91AA"",""14=ADDRESS2"",""NANDINI DEVI_x000D_SYNAPXE PTE. LTD. 6 SERANGOON NORTH AVENUE 5, #01-01/02 SINGAPORE 554910_x000D_NANDINI DEVI /FELICIA LIN_x000D_TEL: 84989294_x000D_FAX: felicia.lin@synapxe.sg_x000D_EMAIL: nandini"&amp;".sivasubramaniam@synapxe.sg"""</f>
        <v>"UICACS","","SQL=","2=DOCNUM","33035796","14=CUSTREF","8000008754","14=U_CUSTREF","8000008754","15=DOCDATE","2/7/2024","15=TAXDATE","2/7/2024","14=CARDCODE","CI0099-SGD","14=CARDNAME","SYNAPXE PTE. LTD.","14=ITEMCODE","MS77D-00111GLP","14=ITEMNAME","MS VSPROwMSDN ALNG SA MVL","10=QUANTITY","1.000000","14=U_PONO","946096/A","15=U_PODATE","2/10/2023","10=U_TLINTCOS","0.000000","2=SLPCODE","132","14=SLPNAME","E0001-CS","14=MEMO","WENDY KUM CHIOU SZE","14=CONTACTNAME","E-INVOICE(AP DIRECT)","10=LINETOTAL","413.160000","14=U_ENR","","14=U_MSENR","S7138270","14=U_MSPCN","AD5A91AA","14=ADDRESS2","NANDINI DEVI_x000D_SYNAPXE PTE. LTD. 6 SERANGOON NORTH AVENUE 5, #01-01/02 SINGAPORE 554910_x000D_NANDINI DEVI /FELICIA LIN_x000D_TEL: 84989294_x000D_FAX: felicia.lin@synapxe.sg_x000D_EMAIL: nandini.sivasubramaniam@synapxe.sg"</v>
      </c>
      <c r="I36" s="77"/>
      <c r="K36" s="76">
        <f>MONTH(N36)</f>
        <v>7</v>
      </c>
      <c r="L36" s="76">
        <f>YEAR(N36)</f>
        <v>2024</v>
      </c>
      <c r="M36" s="76">
        <v>33035796</v>
      </c>
      <c r="N36" s="78">
        <v>45475</v>
      </c>
      <c r="O36" s="76" t="str">
        <f>"S7138270"</f>
        <v>S7138270</v>
      </c>
      <c r="P36" s="76" t="str">
        <f>"AD5A91AA"</f>
        <v>AD5A91AA</v>
      </c>
      <c r="Q36" s="76" t="str">
        <f>"CI0099-SGD"</f>
        <v>CI0099-SGD</v>
      </c>
      <c r="R36" s="76" t="str">
        <f>"SYNAPXE PTE. LTD."</f>
        <v>SYNAPXE PTE. LTD.</v>
      </c>
      <c r="S36" s="79" t="str">
        <f>"946096/A"</f>
        <v>946096/A</v>
      </c>
      <c r="T36" s="79">
        <v>45201</v>
      </c>
      <c r="U36" s="79" t="str">
        <f>"8000008754"</f>
        <v>8000008754</v>
      </c>
      <c r="V36" s="79">
        <v>45475</v>
      </c>
      <c r="W36" s="80">
        <f>SUM(N36-T36)</f>
        <v>274</v>
      </c>
      <c r="X36" s="81" t="str">
        <f>"MS77D-00111GLP"</f>
        <v>MS77D-00111GLP</v>
      </c>
      <c r="Y36" s="81" t="str">
        <f>"MS VSPROwMSDN ALNG SA MVL"</f>
        <v>MS VSPROwMSDN ALNG SA MVL</v>
      </c>
      <c r="Z36" s="81" t="str">
        <f>"WENDY KUM CHIOU SZE"</f>
        <v>WENDY KUM CHIOU SZE</v>
      </c>
      <c r="AA36" s="82">
        <v>1</v>
      </c>
      <c r="AB36" s="81" t="str">
        <f>"E-INVOICE(AP DIRECT)"</f>
        <v>E-INVOICE(AP DIRECT)</v>
      </c>
      <c r="AC36" s="83">
        <f>IFERROR(AD36/AA36,0)</f>
        <v>413.16</v>
      </c>
      <c r="AD36" s="83">
        <v>413.16</v>
      </c>
      <c r="AE36" s="84" t="str">
        <f>"-"</f>
        <v>-</v>
      </c>
      <c r="AF36" s="83">
        <v>413.16</v>
      </c>
      <c r="AG36" s="84" t="s">
        <v>95</v>
      </c>
      <c r="AH36" s="85" t="str">
        <f>"NANDINI DEVI_x000D_SYNAPXE PTE. LTD. 6 SERANGOON NORTH AVENUE 5, #01-01/02 SINGAPORE 554910_x000D_NANDINI DEVI /FELICIA LIN_x000D_TEL: 84989294_x000D_FAX: felicia.lin@synapxe.sg_x000D_EMAIL: nandini.sivasubramaniam@synapxe.sg"</f>
        <v>NANDINI DEVI_x000D_SYNAPXE PTE. LTD. 6 SERANGOON NORTH AVENUE 5, #01-01/02 SINGAPORE 554910_x000D_NANDINI DEVI /FELICIA LIN_x000D_TEL: 84989294_x000D_FAX: felicia.lin@synapxe.sg_x000D_EMAIL: nandini.sivasubramaniam@synapxe.sg</v>
      </c>
      <c r="AI36" s="86"/>
      <c r="AJ36" s="84" t="s">
        <v>96</v>
      </c>
      <c r="AK36" s="76" t="str">
        <f>"MS77D-00111GLP"</f>
        <v>MS77D-00111GLP</v>
      </c>
      <c r="AL36" s="76" t="str">
        <f>"MS VSPROwMSDN ALNG SA MVL"</f>
        <v>MS VSPROwMSDN ALNG SA MVL</v>
      </c>
      <c r="AM36" s="87" t="s">
        <v>763</v>
      </c>
      <c r="AN36" s="76" t="s">
        <v>764</v>
      </c>
      <c r="AO36" s="76" t="s">
        <v>765</v>
      </c>
      <c r="AP36" s="76" t="s">
        <v>768</v>
      </c>
    </row>
    <row r="37" spans="1:49">
      <c r="A37" s="1" t="s">
        <v>136</v>
      </c>
      <c r="B37" s="1" t="str">
        <f t="shared" si="0"/>
        <v>Show</v>
      </c>
      <c r="C37" s="4" t="s">
        <v>48</v>
      </c>
      <c r="E37" s="13" t="str">
        <f>"""UICACS"","""",""SQL="",""2=DOCNUM"",""33035798"",""14=CUSTREF"",""8000009282"",""14=U_CUSTREF"",""8000009282"",""15=DOCDATE"",""2/7/2024"",""15=TAXDATE"",""2/7/2024"",""14=CARDCODE"",""CI0099-SGD"",""14=CARDNAME"",""SYNAPXE PTE. LTD."",""14=ITEMCODE"",""MS77D-00111GLP"",""14=ITEMNAME"",""MS VS"&amp;"PROwMSDN ALNG SA MVL"",""10=QUANTITY"",""42.000000"",""14=U_PONO"",""948837"",""15=U_PODATE"",""26/2/2024"",""10=U_TLINTCOS"",""0.000000"",""2=SLPCODE"",""132"",""14=SLPNAME"",""E0001-CS"",""14=MEMO"",""WENDY KUM CHIOU SZE"",""14=CONTACTNAME"",""E-INVOICE(AP DIRECT)"",""10=LINETOTAL"",""176"&amp;"86.620000"",""14=U_ENR"","""",""14=U_MSENR"",""S7138270"",""14=U_MSPCN"",""AD5A91AA"",""14=ADDRESS2"",""FELICIA LIN_x000D_SYNAPXE PTE. LTD. 6 SERANGOON NORTH AVE 5, #01-01/02, SINGAPORE 554910_x000D_FELICIA LIN_x000D_TEL: 6594 5423/9369 4383_x000D_FAX: _x000D_EMAIL: felicia.lin@synapxe.sg"""</f>
        <v>"UICACS","","SQL=","2=DOCNUM","33035798","14=CUSTREF","8000009282","14=U_CUSTREF","8000009282","15=DOCDATE","2/7/2024","15=TAXDATE","2/7/2024","14=CARDCODE","CI0099-SGD","14=CARDNAME","SYNAPXE PTE. LTD.","14=ITEMCODE","MS77D-00111GLP","14=ITEMNAME","MS VSPROwMSDN ALNG SA MVL","10=QUANTITY","42.000000","14=U_PONO","948837","15=U_PODATE","26/2/2024","10=U_TLINTCOS","0.000000","2=SLPCODE","132","14=SLPNAME","E0001-CS","14=MEMO","WENDY KUM CHIOU SZE","14=CONTACTNAME","E-INVOICE(AP DIRECT)","10=LINETOTAL","17686.620000","14=U_ENR","","14=U_MSENR","S7138270","14=U_MSPCN","AD5A91AA","14=ADDRESS2","FELICIA LIN_x000D_SYNAPXE PTE. LTD. 6 SERANGOON NORTH AVE 5, #01-01/02, SINGAPORE 554910_x000D_FELICIA LIN_x000D_TEL: 6594 5423/9369 4383_x000D_FAX: _x000D_EMAIL: felicia.lin@synapxe.sg"</v>
      </c>
      <c r="K37" s="4">
        <f>MONTH(N37)</f>
        <v>7</v>
      </c>
      <c r="L37" s="4">
        <f>YEAR(N37)</f>
        <v>2024</v>
      </c>
      <c r="M37" s="4">
        <v>33035798</v>
      </c>
      <c r="N37" s="38">
        <v>45475</v>
      </c>
      <c r="O37" s="4" t="str">
        <f>"S7138270"</f>
        <v>S7138270</v>
      </c>
      <c r="P37" s="4" t="str">
        <f>"AD5A91AA"</f>
        <v>AD5A91AA</v>
      </c>
      <c r="Q37" s="4" t="str">
        <f>"CI0099-SGD"</f>
        <v>CI0099-SGD</v>
      </c>
      <c r="R37" s="4" t="str">
        <f>"SYNAPXE PTE. LTD."</f>
        <v>SYNAPXE PTE. LTD.</v>
      </c>
      <c r="S37" s="50" t="str">
        <f>"948837"</f>
        <v>948837</v>
      </c>
      <c r="T37" s="50">
        <v>45348</v>
      </c>
      <c r="U37" s="50" t="str">
        <f>"8000009282"</f>
        <v>8000009282</v>
      </c>
      <c r="V37" s="50">
        <v>45475</v>
      </c>
      <c r="W37" s="51">
        <f>SUM(N37-T37)</f>
        <v>127</v>
      </c>
      <c r="X37" s="65" t="str">
        <f>"MS77D-00111GLP"</f>
        <v>MS77D-00111GLP</v>
      </c>
      <c r="Y37" s="65" t="str">
        <f>"MS VSPROwMSDN ALNG SA MVL"</f>
        <v>MS VSPROwMSDN ALNG SA MVL</v>
      </c>
      <c r="Z37" s="65" t="str">
        <f>"WENDY KUM CHIOU SZE"</f>
        <v>WENDY KUM CHIOU SZE</v>
      </c>
      <c r="AA37" s="60">
        <v>42</v>
      </c>
      <c r="AB37" s="65" t="str">
        <f>"E-INVOICE(AP DIRECT)"</f>
        <v>E-INVOICE(AP DIRECT)</v>
      </c>
      <c r="AC37" s="37">
        <f>IFERROR(AD37/AA37,0)</f>
        <v>421.10999999999996</v>
      </c>
      <c r="AD37" s="37">
        <v>17686.62</v>
      </c>
      <c r="AE37" s="63" t="str">
        <f>"-"</f>
        <v>-</v>
      </c>
      <c r="AF37" s="37">
        <v>17686.62</v>
      </c>
      <c r="AG37" s="63" t="s">
        <v>95</v>
      </c>
      <c r="AH37" s="67" t="str">
        <f>"FELICIA LIN_x000D_SYNAPXE PTE. LTD. 6 SERANGOON NORTH AVE 5, #01-01/02, SINGAPORE 554910_x000D_FELICIA LIN_x000D_TEL: 6594 5423/9369 4383_x000D_FAX: _x000D_EMAIL: felicia.lin@synapxe.sg"</f>
        <v>FELICIA LIN_x000D_SYNAPXE PTE. LTD. 6 SERANGOON NORTH AVE 5, #01-01/02, SINGAPORE 554910_x000D_FELICIA LIN_x000D_TEL: 6594 5423/9369 4383_x000D_FAX: _x000D_EMAIL: felicia.lin@synapxe.sg</v>
      </c>
      <c r="AI37" s="18"/>
      <c r="AJ37" s="63" t="s">
        <v>96</v>
      </c>
      <c r="AK37" s="4" t="str">
        <f>"MS77D-00111GLP"</f>
        <v>MS77D-00111GLP</v>
      </c>
      <c r="AL37" s="4" t="str">
        <f>"MS VSPROwMSDN ALNG SA MVL"</f>
        <v>MS VSPROwMSDN ALNG SA MVL</v>
      </c>
      <c r="AM37" s="87" t="s">
        <v>763</v>
      </c>
      <c r="AN37" s="76" t="s">
        <v>764</v>
      </c>
      <c r="AO37" s="76" t="s">
        <v>765</v>
      </c>
      <c r="AP37" s="76" t="s">
        <v>769</v>
      </c>
    </row>
    <row r="38" spans="1:49">
      <c r="A38" s="1" t="s">
        <v>136</v>
      </c>
      <c r="B38" s="1" t="str">
        <f t="shared" si="0"/>
        <v>Show</v>
      </c>
      <c r="C38" s="4" t="s">
        <v>48</v>
      </c>
      <c r="E38" s="13" t="str">
        <f>"""UICACS"","""",""SQL="",""2=DOCNUM"",""33035798"",""14=CUSTREF"",""8000009282"",""14=U_CUSTREF"",""8000009282"",""15=DOCDATE"",""2/7/2024"",""15=TAXDATE"",""2/7/2024"",""14=CARDCODE"",""CI0099-SGD"",""14=CARDNAME"",""SYNAPXE PTE. LTD."",""14=ITEMCODE"",""MS77D-00111GLP"",""14=ITEMNAME"",""MS VS"&amp;"PROwMSDN ALNG SA MVL"",""10=QUANTITY"",""1.000000"",""14=U_PONO"",""948837"",""15=U_PODATE"",""26/2/2024"",""10=U_TLINTCOS"",""0.000000"",""2=SLPCODE"",""132"",""14=SLPNAME"",""E0001-CS"",""14=MEMO"",""WENDY KUM CHIOU SZE"",""14=CONTACTNAME"",""E-INVOICE(AP DIRECT)"",""10=LINETOTAL"",""421."&amp;"160000"",""14=U_ENR"","""",""14=U_MSENR"",""S7138270"",""14=U_MSPCN"",""AD5A91AA"",""14=ADDRESS2"",""FELICIA LIN_x000D_SYNAPXE PTE. LTD. 6 SERANGOON NORTH AVE 5, #01-01/02, SINGAPORE 554910_x000D_FELICIA LIN_x000D_TEL: 6594 5423/9369 4383_x000D_FAX: _x000D_EMAIL: felicia.lin@synapxe.sg"""</f>
        <v>"UICACS","","SQL=","2=DOCNUM","33035798","14=CUSTREF","8000009282","14=U_CUSTREF","8000009282","15=DOCDATE","2/7/2024","15=TAXDATE","2/7/2024","14=CARDCODE","CI0099-SGD","14=CARDNAME","SYNAPXE PTE. LTD.","14=ITEMCODE","MS77D-00111GLP","14=ITEMNAME","MS VSPROwMSDN ALNG SA MVL","10=QUANTITY","1.000000","14=U_PONO","948837","15=U_PODATE","26/2/2024","10=U_TLINTCOS","0.000000","2=SLPCODE","132","14=SLPNAME","E0001-CS","14=MEMO","WENDY KUM CHIOU SZE","14=CONTACTNAME","E-INVOICE(AP DIRECT)","10=LINETOTAL","421.160000","14=U_ENR","","14=U_MSENR","S7138270","14=U_MSPCN","AD5A91AA","14=ADDRESS2","FELICIA LIN_x000D_SYNAPXE PTE. LTD. 6 SERANGOON NORTH AVE 5, #01-01/02, SINGAPORE 554910_x000D_FELICIA LIN_x000D_TEL: 6594 5423/9369 4383_x000D_FAX: _x000D_EMAIL: felicia.lin@synapxe.sg"</v>
      </c>
      <c r="K38" s="4">
        <f>MONTH(N38)</f>
        <v>7</v>
      </c>
      <c r="L38" s="4">
        <f>YEAR(N38)</f>
        <v>2024</v>
      </c>
      <c r="M38" s="4">
        <v>33035798</v>
      </c>
      <c r="N38" s="38">
        <v>45475</v>
      </c>
      <c r="O38" s="4" t="str">
        <f>"S7138270"</f>
        <v>S7138270</v>
      </c>
      <c r="P38" s="4" t="str">
        <f>"AD5A91AA"</f>
        <v>AD5A91AA</v>
      </c>
      <c r="Q38" s="4" t="str">
        <f>"CI0099-SGD"</f>
        <v>CI0099-SGD</v>
      </c>
      <c r="R38" s="4" t="str">
        <f>"SYNAPXE PTE. LTD."</f>
        <v>SYNAPXE PTE. LTD.</v>
      </c>
      <c r="S38" s="50" t="str">
        <f>"948837"</f>
        <v>948837</v>
      </c>
      <c r="T38" s="50">
        <v>45348</v>
      </c>
      <c r="U38" s="50" t="str">
        <f>"8000009282"</f>
        <v>8000009282</v>
      </c>
      <c r="V38" s="50">
        <v>45475</v>
      </c>
      <c r="W38" s="51">
        <f>SUM(N38-T38)</f>
        <v>127</v>
      </c>
      <c r="X38" s="65" t="str">
        <f>"MS77D-00111GLP"</f>
        <v>MS77D-00111GLP</v>
      </c>
      <c r="Y38" s="65" t="str">
        <f>"MS VSPROwMSDN ALNG SA MVL"</f>
        <v>MS VSPROwMSDN ALNG SA MVL</v>
      </c>
      <c r="Z38" s="65" t="str">
        <f>"WENDY KUM CHIOU SZE"</f>
        <v>WENDY KUM CHIOU SZE</v>
      </c>
      <c r="AA38" s="60">
        <v>1</v>
      </c>
      <c r="AB38" s="65" t="str">
        <f>"E-INVOICE(AP DIRECT)"</f>
        <v>E-INVOICE(AP DIRECT)</v>
      </c>
      <c r="AC38" s="37">
        <f>IFERROR(AD38/AA38,0)</f>
        <v>421.16</v>
      </c>
      <c r="AD38" s="37">
        <v>421.16</v>
      </c>
      <c r="AE38" s="63" t="str">
        <f>"-"</f>
        <v>-</v>
      </c>
      <c r="AF38" s="37">
        <v>421.16</v>
      </c>
      <c r="AG38" s="63" t="s">
        <v>95</v>
      </c>
      <c r="AH38" s="67" t="str">
        <f>"FELICIA LIN_x000D_SYNAPXE PTE. LTD. 6 SERANGOON NORTH AVE 5, #01-01/02, SINGAPORE 554910_x000D_FELICIA LIN_x000D_TEL: 6594 5423/9369 4383_x000D_FAX: _x000D_EMAIL: felicia.lin@synapxe.sg"</f>
        <v>FELICIA LIN_x000D_SYNAPXE PTE. LTD. 6 SERANGOON NORTH AVE 5, #01-01/02, SINGAPORE 554910_x000D_FELICIA LIN_x000D_TEL: 6594 5423/9369 4383_x000D_FAX: _x000D_EMAIL: felicia.lin@synapxe.sg</v>
      </c>
      <c r="AI38" s="18"/>
      <c r="AJ38" s="63" t="s">
        <v>96</v>
      </c>
      <c r="AK38" s="4" t="str">
        <f>"MS77D-00111GLP"</f>
        <v>MS77D-00111GLP</v>
      </c>
      <c r="AL38" s="4" t="str">
        <f>"MS VSPROwMSDN ALNG SA MVL"</f>
        <v>MS VSPROwMSDN ALNG SA MVL</v>
      </c>
      <c r="AM38" s="87" t="s">
        <v>763</v>
      </c>
      <c r="AN38" s="76" t="s">
        <v>764</v>
      </c>
      <c r="AO38" s="76" t="s">
        <v>765</v>
      </c>
      <c r="AP38" s="76" t="s">
        <v>769</v>
      </c>
    </row>
    <row r="39" spans="1:49">
      <c r="A39" s="1" t="s">
        <v>136</v>
      </c>
      <c r="B39" s="1" t="str">
        <f t="shared" si="0"/>
        <v>Show</v>
      </c>
      <c r="C39" s="4" t="s">
        <v>48</v>
      </c>
      <c r="E39" s="13" t="str">
        <f>"""UICACS"","""",""SQL="",""2=DOCNUM"",""33035807"",""14=CUSTREF"",""8000009491"",""14=U_CUSTREF"",""8000009491"",""15=DOCDATE"",""3/7/2024"",""15=TAXDATE"",""3/7/2024"",""14=CARDCODE"",""CI0099-SGD"",""14=CARDNAME"",""SYNAPXE PTE. LTD."",""14=ITEMCODE"",""MS7JQ-00355GLP"",""14=ITEMNAME"",""MS SQ"&amp;"L SERVER ENTERPRISE CORE SLNG SA 2L"",""10=QUANTITY"",""2.000000"",""14=U_PONO"",""949498/A"",""15=U_PODATE"",""28/3/2024"",""10=U_TLINTCOS"",""0.000000"",""2=SLPCODE"",""132"",""14=SLPNAME"",""E0001-CS"",""14=MEMO"",""WENDY KUM CHIOU SZE"",""14=CONTACTNAME"",""E-INVOICE(AP DIRECT)"",""10"&amp;"=LINETOTAL"",""19951.400000"",""14=U_ENR"","""",""14=U_MSENR"",""S7138270"",""14=U_MSPCN"",""AD5A91AA"",""14=ADDRESS2"",""CALEB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caleb."&amp;"lim@synapxe.sg"""</f>
        <v>"UICACS","","SQL=","2=DOCNUM","33035807","14=CUSTREF","8000009491","14=U_CUSTREF","8000009491","15=DOCDATE","3/7/2024","15=TAXDATE","3/7/2024","14=CARDCODE","CI0099-SGD","14=CARDNAME","SYNAPXE PTE. LTD.","14=ITEMCODE","MS7JQ-00355GLP","14=ITEMNAME","MS SQL SERVER ENTERPRISE CORE SLNG SA 2L","10=QUANTITY","2.000000","14=U_PONO","949498/A","15=U_PODATE","28/3/2024","10=U_TLINTCOS","0.000000","2=SLPCODE","132","14=SLPNAME","E0001-CS","14=MEMO","WENDY KUM CHIOU SZE","14=CONTACTNAME","E-INVOICE(AP DIRECT)","10=LINETOTAL","19951.400000","14=U_ENR","","14=U_MSENR","S7138270","14=U_MSPCN","AD5A91AA","14=ADDRESS2","CALEB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39" s="4">
        <f>MONTH(N39)</f>
        <v>7</v>
      </c>
      <c r="L39" s="4">
        <f>YEAR(N39)</f>
        <v>2024</v>
      </c>
      <c r="M39" s="4">
        <v>33035807</v>
      </c>
      <c r="N39" s="38">
        <v>45476</v>
      </c>
      <c r="O39" s="4" t="str">
        <f>"S7138270"</f>
        <v>S7138270</v>
      </c>
      <c r="P39" s="4" t="str">
        <f>"AD5A91AA"</f>
        <v>AD5A91AA</v>
      </c>
      <c r="Q39" s="4" t="str">
        <f>"CI0099-SGD"</f>
        <v>CI0099-SGD</v>
      </c>
      <c r="R39" s="4" t="str">
        <f>"SYNAPXE PTE. LTD."</f>
        <v>SYNAPXE PTE. LTD.</v>
      </c>
      <c r="S39" s="50" t="str">
        <f>"949498/A"</f>
        <v>949498/A</v>
      </c>
      <c r="T39" s="50">
        <v>45379</v>
      </c>
      <c r="U39" s="50" t="str">
        <f>"8000009491"</f>
        <v>8000009491</v>
      </c>
      <c r="V39" s="50">
        <v>45476</v>
      </c>
      <c r="W39" s="51">
        <f>SUM(N39-T39)</f>
        <v>97</v>
      </c>
      <c r="X39" s="65" t="str">
        <f>"MS7JQ-00355GLP"</f>
        <v>MS7JQ-00355GLP</v>
      </c>
      <c r="Y39" s="65" t="str">
        <f>"MS SQL SERVER ENTERPRISE CORE SLNG SA 2L"</f>
        <v>MS SQL SERVER ENTERPRISE CORE SLNG SA 2L</v>
      </c>
      <c r="Z39" s="65" t="str">
        <f>"WENDY KUM CHIOU SZE"</f>
        <v>WENDY KUM CHIOU SZE</v>
      </c>
      <c r="AA39" s="60">
        <v>2</v>
      </c>
      <c r="AB39" s="65" t="str">
        <f>"E-INVOICE(AP DIRECT)"</f>
        <v>E-INVOICE(AP DIRECT)</v>
      </c>
      <c r="AC39" s="37">
        <f>IFERROR(AD39/AA39,0)</f>
        <v>9975.7000000000007</v>
      </c>
      <c r="AD39" s="37">
        <v>19951.400000000001</v>
      </c>
      <c r="AE39" s="63" t="str">
        <f>"-"</f>
        <v>-</v>
      </c>
      <c r="AF39" s="37">
        <v>19951.400000000001</v>
      </c>
      <c r="AG39" s="63" t="s">
        <v>95</v>
      </c>
      <c r="AH39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39" s="18"/>
      <c r="AJ39" s="63" t="s">
        <v>96</v>
      </c>
      <c r="AK39" s="4" t="str">
        <f>"MS7JQ-00355GLP"</f>
        <v>MS7JQ-00355GLP</v>
      </c>
      <c r="AL39" s="4" t="str">
        <f>"MS SQL SERVER ENTERPRISE CORE SLNG SA 2L"</f>
        <v>MS SQL SERVER ENTERPRISE CORE SLNG SA 2L</v>
      </c>
      <c r="AM39" s="87" t="s">
        <v>763</v>
      </c>
      <c r="AN39" s="76" t="s">
        <v>764</v>
      </c>
      <c r="AO39" s="76" t="s">
        <v>765</v>
      </c>
      <c r="AP39" s="76" t="s">
        <v>770</v>
      </c>
    </row>
    <row r="40" spans="1:49">
      <c r="A40" s="1" t="s">
        <v>136</v>
      </c>
      <c r="B40" s="1" t="str">
        <f t="shared" si="0"/>
        <v>Show</v>
      </c>
      <c r="C40" s="4" t="s">
        <v>48</v>
      </c>
      <c r="E40" s="13" t="str">
        <f>"""UICACS"","""",""SQL="",""2=DOCNUM"",""33035807"",""14=CUSTREF"",""8000009491"",""14=U_CUSTREF"",""8000009491"",""15=DOCDATE"",""3/7/2024"",""15=TAXDATE"",""3/7/2024"",""14=CARDCODE"",""CI0099-SGD"",""14=CARDNAME"",""SYNAPXE PTE. LTD."",""14=ITEMCODE"",""MS9EA-00264GLP"",""14=ITEMNAME"",""MS WI"&amp;"N SERVER DC CORE SLNG SA 16L"",""10=QUANTITY"",""12.000000"",""14=U_PONO"",""949498/A"",""15=U_PODATE"",""28/3/2024"",""10=U_TLINTCOS"",""0.000000"",""2=SLPCODE"",""132"",""14=SLPNAME"",""E0001-CS"",""14=MEMO"",""WENDY KUM CHIOU SZE"",""14=CONTACTNAME"",""E-INVOICE(AP DIRECT)"",""10=LINET"&amp;"OTAL"",""48705.840000"",""14=U_ENR"","""",""14=U_MSENR"",""S7138270"",""14=U_MSPCN"",""AD5A91AA"",""14=ADDRESS2"",""CALEB LIM_x000D_SYNAPXE PTE. LTD. 6 SERANGOON NORTH AVE 5, #01-01/02 SINGAPORE 554910_x000D_CALEB LIM(9734 2178)/ CHEN WEIXIANG(92956229)_x000D_TEL: _x000D_FAX: _x000D_EMAIL: caleb.lim@sy"&amp;"napxe.sg"""</f>
        <v>"UICACS","","SQL=","2=DOCNUM","33035807","14=CUSTREF","8000009491","14=U_CUSTREF","8000009491","15=DOCDATE","3/7/2024","15=TAXDATE","3/7/2024","14=CARDCODE","CI0099-SGD","14=CARDNAME","SYNAPXE PTE. LTD.","14=ITEMCODE","MS9EA-00264GLP","14=ITEMNAME","MS WIN SERVER DC CORE SLNG SA 16L","10=QUANTITY","12.000000","14=U_PONO","949498/A","15=U_PODATE","28/3/2024","10=U_TLINTCOS","0.000000","2=SLPCODE","132","14=SLPNAME","E0001-CS","14=MEMO","WENDY KUM CHIOU SZE","14=CONTACTNAME","E-INVOICE(AP DIRECT)","10=LINETOTAL","48705.840000","14=U_ENR","","14=U_MSENR","S7138270","14=U_MSPCN","AD5A91AA","14=ADDRESS2","CALEB LIM_x000D_SYNAPXE PTE. LTD. 6 SERANGOON NORTH AVE 5, #01-01/02 SINGAPORE 554910_x000D_CALEB LIM(9734 2178)/ CHEN WEIXIANG(92956229)_x000D_TEL: _x000D_FAX: _x000D_EMAIL: caleb.lim@synapxe.sg"</v>
      </c>
      <c r="K40" s="4">
        <f>MONTH(N40)</f>
        <v>7</v>
      </c>
      <c r="L40" s="4">
        <f>YEAR(N40)</f>
        <v>2024</v>
      </c>
      <c r="M40" s="4">
        <v>33035807</v>
      </c>
      <c r="N40" s="38">
        <v>45476</v>
      </c>
      <c r="O40" s="4" t="str">
        <f>"S7138270"</f>
        <v>S7138270</v>
      </c>
      <c r="P40" s="4" t="str">
        <f>"AD5A91AA"</f>
        <v>AD5A91AA</v>
      </c>
      <c r="Q40" s="4" t="str">
        <f>"CI0099-SGD"</f>
        <v>CI0099-SGD</v>
      </c>
      <c r="R40" s="4" t="str">
        <f>"SYNAPXE PTE. LTD."</f>
        <v>SYNAPXE PTE. LTD.</v>
      </c>
      <c r="S40" s="50" t="str">
        <f>"949498/A"</f>
        <v>949498/A</v>
      </c>
      <c r="T40" s="50">
        <v>45379</v>
      </c>
      <c r="U40" s="50" t="str">
        <f>"8000009491"</f>
        <v>8000009491</v>
      </c>
      <c r="V40" s="50">
        <v>45476</v>
      </c>
      <c r="W40" s="51">
        <f>SUM(N40-T40)</f>
        <v>97</v>
      </c>
      <c r="X40" s="65" t="str">
        <f>"MS9EA-00264GLP"</f>
        <v>MS9EA-00264GLP</v>
      </c>
      <c r="Y40" s="65" t="str">
        <f>"MS WIN SERVER DC CORE SLNG SA 16L"</f>
        <v>MS WIN SERVER DC CORE SLNG SA 16L</v>
      </c>
      <c r="Z40" s="65" t="str">
        <f>"WENDY KUM CHIOU SZE"</f>
        <v>WENDY KUM CHIOU SZE</v>
      </c>
      <c r="AA40" s="60">
        <v>12</v>
      </c>
      <c r="AB40" s="65" t="str">
        <f>"E-INVOICE(AP DIRECT)"</f>
        <v>E-INVOICE(AP DIRECT)</v>
      </c>
      <c r="AC40" s="37">
        <f>IFERROR(AD40/AA40,0)</f>
        <v>4058.8199999999997</v>
      </c>
      <c r="AD40" s="37">
        <v>48705.84</v>
      </c>
      <c r="AE40" s="63" t="str">
        <f>"-"</f>
        <v>-</v>
      </c>
      <c r="AF40" s="37">
        <v>48705.84</v>
      </c>
      <c r="AG40" s="63" t="s">
        <v>95</v>
      </c>
      <c r="AH40" s="67" t="str">
        <f>"CALEB LIM_x000D_SYNAPXE PTE. LTD. 6 SERANGOON NORTH AVE 5, #01-01/02 SINGAPORE 554910_x000D_CALEB LIM(9734 2178)/ CHEN WEIXIANG(92956229)_x000D_TEL: _x000D_FAX: _x000D_EMAIL: caleb.lim@synapxe.sg"</f>
        <v>CALEB LIM_x000D_SYNAPXE PTE. LTD. 6 SERANGOON NORTH AVE 5, #01-01/02 SINGAPORE 554910_x000D_CALEB LIM(9734 2178)/ CHEN WEIXIANG(92956229)_x000D_TEL: _x000D_FAX: _x000D_EMAIL: caleb.lim@synapxe.sg</v>
      </c>
      <c r="AI40" s="18"/>
      <c r="AJ40" s="63" t="s">
        <v>96</v>
      </c>
      <c r="AK40" s="4" t="str">
        <f>"MS9EA-00264GLP"</f>
        <v>MS9EA-00264GLP</v>
      </c>
      <c r="AL40" s="4" t="str">
        <f>"MS WIN SERVER DC CORE SLNG SA 16L"</f>
        <v>MS WIN SERVER DC CORE SLNG SA 16L</v>
      </c>
      <c r="AM40" s="87" t="s">
        <v>763</v>
      </c>
      <c r="AN40" s="76" t="s">
        <v>764</v>
      </c>
      <c r="AO40" s="76" t="s">
        <v>765</v>
      </c>
      <c r="AP40" s="76" t="s">
        <v>770</v>
      </c>
    </row>
    <row r="41" spans="1:49">
      <c r="A41" s="1" t="s">
        <v>136</v>
      </c>
      <c r="B41" s="1" t="str">
        <f t="shared" si="0"/>
        <v>Show</v>
      </c>
      <c r="C41" s="4" t="s">
        <v>48</v>
      </c>
      <c r="E41" s="13" t="str">
        <f>"""UICACS"","""",""SQL="",""2=DOCNUM"",""33035870"",""14=CUSTREF"",""8100000240"",""14=U_CUSTREF"",""8100000240"",""15=DOCDATE"",""11/7/2024"",""15=TAXDATE"",""11/7/2024"",""14=CARDCODE"",""CI0099-SGD"",""14=CARDNAME"",""SYNAPXE PTE. LTD."",""14=ITEMCODE"",""MS7JQ-00355GLP"",""14=ITEMNAME"",""MS "&amp;"SQL SERVER ENTERPRISE CORE SLNG SA 2L"",""10=QUANTITY"",""2.000000"",""14=U_PONO"",""951310"",""15=U_PODATE"",""11/7/2024"",""10=U_TLINTCOS"",""0.000000"",""2=SLPCODE"",""132"",""14=SLPNAME"",""E0001-CS"",""14=MEMO"",""WENDY KUM CHIOU SZE"",""14=CONTACTNAME"",""E-INVOICE(AP DIRECT)"",""10"&amp;"=LINETOTAL"",""19924.240000"",""14=U_ENR"","""",""14=U_MSENR"",""S7138270"",""14=U_MSPCN"",""AD5A91AA"",""14=ADDRESS2"",""TAN CHEK WEE_x000D_SYNAPXE PTE. LTD. 1 NORTH BOUNA VISTA LINK, #05-01, ELEMENTUM SINGAPORE 139691_x000D_TAN CHEK WEE_x000D_TEL: 96501534_x000D_FAX: _x000D_EMAIL: tan.chek.wee@synapx"&amp;"e.sg"""</f>
        <v>"UICACS","","SQL=","2=DOCNUM","33035870","14=CUSTREF","8100000240","14=U_CUSTREF","8100000240","15=DOCDATE","11/7/2024","15=TAXDATE","11/7/2024","14=CARDCODE","CI0099-SGD","14=CARDNAME","SYNAPXE PTE. LTD.","14=ITEMCODE","MS7JQ-00355GLP","14=ITEMNAME","MS SQL SERVER ENTERPRISE CORE SLNG SA 2L","10=QUANTITY","2.000000","14=U_PONO","951310","15=U_PODATE","11/7/2024","10=U_TLINTCOS","0.000000","2=SLPCODE","132","14=SLPNAME","E0001-CS","14=MEMO","WENDY KUM CHIOU SZE","14=CONTACTNAME","E-INVOICE(AP DIRECT)","10=LINETOTAL","19924.240000","14=U_ENR","","14=U_MSENR","S7138270","14=U_MSPCN","AD5A91AA","14=ADDRESS2","TAN CHEK WEE_x000D_SYNAPXE PTE. LTD. 1 NORTH BOUNA VISTA LINK, #05-01, ELEMENTUM SINGAPORE 139691_x000D_TAN CHEK WEE_x000D_TEL: 96501534_x000D_FAX: _x000D_EMAIL: tan.chek.wee@synapxe.sg"</v>
      </c>
      <c r="K41" s="4">
        <f>MONTH(N41)</f>
        <v>7</v>
      </c>
      <c r="L41" s="4">
        <f>YEAR(N41)</f>
        <v>2024</v>
      </c>
      <c r="M41" s="4">
        <v>33035870</v>
      </c>
      <c r="N41" s="38">
        <v>45484</v>
      </c>
      <c r="O41" s="4" t="str">
        <f>"S7138270"</f>
        <v>S7138270</v>
      </c>
      <c r="P41" s="4" t="str">
        <f>"AD5A91AA"</f>
        <v>AD5A91AA</v>
      </c>
      <c r="Q41" s="4" t="str">
        <f>"CI0099-SGD"</f>
        <v>CI0099-SGD</v>
      </c>
      <c r="R41" s="4" t="str">
        <f>"SYNAPXE PTE. LTD."</f>
        <v>SYNAPXE PTE. LTD.</v>
      </c>
      <c r="S41" s="50" t="str">
        <f>"951310"</f>
        <v>951310</v>
      </c>
      <c r="T41" s="50">
        <v>45484</v>
      </c>
      <c r="U41" s="50" t="str">
        <f>"8100000240"</f>
        <v>8100000240</v>
      </c>
      <c r="V41" s="50">
        <v>45484</v>
      </c>
      <c r="W41" s="51">
        <f>SUM(N41-T41)</f>
        <v>0</v>
      </c>
      <c r="X41" s="65" t="str">
        <f>"MS7JQ-00355GLP"</f>
        <v>MS7JQ-00355GLP</v>
      </c>
      <c r="Y41" s="65" t="str">
        <f>"MS SQL SERVER ENTERPRISE CORE SLNG SA 2L"</f>
        <v>MS SQL SERVER ENTERPRISE CORE SLNG SA 2L</v>
      </c>
      <c r="Z41" s="65" t="str">
        <f>"WENDY KUM CHIOU SZE"</f>
        <v>WENDY KUM CHIOU SZE</v>
      </c>
      <c r="AA41" s="60">
        <v>2</v>
      </c>
      <c r="AB41" s="65" t="str">
        <f>"E-INVOICE(AP DIRECT)"</f>
        <v>E-INVOICE(AP DIRECT)</v>
      </c>
      <c r="AC41" s="37">
        <f>IFERROR(AD41/AA41,0)</f>
        <v>9962.1200000000008</v>
      </c>
      <c r="AD41" s="37">
        <v>19924.240000000002</v>
      </c>
      <c r="AE41" s="63" t="str">
        <f>"-"</f>
        <v>-</v>
      </c>
      <c r="AF41" s="37">
        <v>19924.240000000002</v>
      </c>
      <c r="AG41" s="63" t="s">
        <v>95</v>
      </c>
      <c r="AH41" s="67" t="str">
        <f>"TAN CHEK WEE_x000D_SYNAPXE PTE. LTD. 1 NORTH BOUNA VISTA LINK, #05-01, ELEMENTUM SINGAPORE 139691_x000D_TAN CHEK WEE_x000D_TEL: 96501534_x000D_FAX: _x000D_EMAIL: tan.chek.wee@synapxe.sg"</f>
        <v>TAN CHEK WEE_x000D_SYNAPXE PTE. LTD. 1 NORTH BOUNA VISTA LINK, #05-01, ELEMENTUM SINGAPORE 139691_x000D_TAN CHEK WEE_x000D_TEL: 96501534_x000D_FAX: _x000D_EMAIL: tan.chek.wee@synapxe.sg</v>
      </c>
      <c r="AI41" s="18"/>
      <c r="AJ41" s="63" t="s">
        <v>96</v>
      </c>
      <c r="AK41" s="4" t="str">
        <f>"MS7JQ-00355GLP"</f>
        <v>MS7JQ-00355GLP</v>
      </c>
      <c r="AL41" s="4" t="str">
        <f>"MS SQL SERVER ENTERPRISE CORE SLNG SA 2L"</f>
        <v>MS SQL SERVER ENTERPRISE CORE SLNG SA 2L</v>
      </c>
      <c r="AM41" s="87" t="s">
        <v>763</v>
      </c>
      <c r="AN41" s="3" t="s">
        <v>771</v>
      </c>
      <c r="AO41" s="4" t="s">
        <v>772</v>
      </c>
      <c r="AP41" s="4" t="str">
        <f>"-"</f>
        <v>-</v>
      </c>
    </row>
    <row r="42" spans="1:49">
      <c r="A42" s="1" t="s">
        <v>136</v>
      </c>
      <c r="B42" s="1" t="str">
        <f t="shared" si="0"/>
        <v>Show</v>
      </c>
      <c r="C42" s="4" t="s">
        <v>48</v>
      </c>
      <c r="E42" s="13" t="str">
        <f>"""UICACS"","""",""SQL="",""2=DOCNUM"",""33035908"",""14=CUSTREF"",""9310005761"",""14=U_CUSTREF"",""9310005761"",""15=DOCDATE"",""16/7/2024"",""15=TAXDATE"",""16/7/2024"",""14=CARDCODE"",""CM0159-SGD"",""14=CARDNAME"",""MOH HOLDINGS PTE LTD"",""14=ITEMCODE"",""MS359-00993GLP"",""14=ITEMNAME"","""&amp;"MS SQL CAL SLNG LSA USER CAL"",""10=QUANTITY"",""1.000000"",""14=U_PONO"",""951360"",""15=U_PODATE"",""15/7/2024"",""10=U_TLINTCOS"",""0.000000"",""2=SLPCODE"",""132"",""14=SLPNAME"",""E0001-CS"",""14=MEMO"",""WENDY KUM CHIOU SZE"",""14=CONTACTNAME"",""E-INVOICE (AP DIRECT)"",""10=LINETOT"&amp;"AL"",""337.770000"",""14=U_ENR"","""",""14=U_MSENR"",""S7138270"",""14=U_MSPCN"",""9EC935A8"",""14=ADDRESS2"",""BENSON_x000D_MOH HOLDINGS PTE LTD 1 NORTH BUONA VISTA LINK ELEMENTUM #09-01 SINGAPORE 139691_x000D_BENSON_x000D_TEL: 88776020_x000D_FAX: _x000D_EMAIL: benson.chen@synapxe.sg"""</f>
        <v>"UICACS","","SQL=","2=DOCNUM","33035908","14=CUSTREF","9310005761","14=U_CUSTREF","9310005761","15=DOCDATE","16/7/2024","15=TAXDATE","16/7/2024","14=CARDCODE","CM0159-SGD","14=CARDNAME","MOH HOLDINGS PTE LTD","14=ITEMCODE","MS359-00993GLP","14=ITEMNAME","MS SQL CAL SLNG LSA USER CAL","10=QUANTITY","1.000000","14=U_PONO","951360","15=U_PODATE","15/7/2024","10=U_TLINTCOS","0.000000","2=SLPCODE","132","14=SLPNAME","E0001-CS","14=MEMO","WENDY KUM CHIOU SZE","14=CONTACTNAME","E-INVOICE (AP DIRECT)","10=LINETOTAL","337.770000","14=U_ENR","","14=U_MSENR","S7138270","14=U_MSPCN","9EC935A8","14=ADDRESS2","BENSON_x000D_MOH HOLDINGS PTE LTD 1 NORTH BUONA VISTA LINK ELEMENTUM #09-01 SINGAPORE 139691_x000D_BENSON_x000D_TEL: 88776020_x000D_FAX: _x000D_EMAIL: benson.chen@synapxe.sg"</v>
      </c>
      <c r="K42" s="4">
        <f>MONTH(N42)</f>
        <v>7</v>
      </c>
      <c r="L42" s="4">
        <f>YEAR(N42)</f>
        <v>2024</v>
      </c>
      <c r="M42" s="4">
        <v>33035908</v>
      </c>
      <c r="N42" s="38">
        <v>45489</v>
      </c>
      <c r="O42" s="4" t="str">
        <f>"S7138270"</f>
        <v>S7138270</v>
      </c>
      <c r="P42" s="4" t="str">
        <f>"9EC935A8"</f>
        <v>9EC935A8</v>
      </c>
      <c r="Q42" s="4" t="str">
        <f>"CM0159-SGD"</f>
        <v>CM0159-SGD</v>
      </c>
      <c r="R42" s="4" t="str">
        <f>"MOH HOLDINGS PTE LTD"</f>
        <v>MOH HOLDINGS PTE LTD</v>
      </c>
      <c r="S42" s="50" t="str">
        <f>"951360"</f>
        <v>951360</v>
      </c>
      <c r="T42" s="50">
        <v>45488</v>
      </c>
      <c r="U42" s="50" t="str">
        <f>"9310005761"</f>
        <v>9310005761</v>
      </c>
      <c r="V42" s="50">
        <v>45489</v>
      </c>
      <c r="W42" s="51">
        <f>SUM(N42-T42)</f>
        <v>1</v>
      </c>
      <c r="X42" s="65" t="str">
        <f>"MS359-00993GLP"</f>
        <v>MS359-00993GLP</v>
      </c>
      <c r="Y42" s="65" t="str">
        <f>"MS SQL CAL SLNG LSA USER CAL"</f>
        <v>MS SQL CAL SLNG LSA USER CAL</v>
      </c>
      <c r="Z42" s="65" t="str">
        <f>"WENDY KUM CHIOU SZE"</f>
        <v>WENDY KUM CHIOU SZE</v>
      </c>
      <c r="AA42" s="60">
        <v>1</v>
      </c>
      <c r="AB42" s="65" t="str">
        <f>"E-INVOICE (AP DIRECT)"</f>
        <v>E-INVOICE (AP DIRECT)</v>
      </c>
      <c r="AC42" s="37">
        <f>IFERROR(AD42/AA42,0)</f>
        <v>337.77</v>
      </c>
      <c r="AD42" s="37">
        <v>337.77</v>
      </c>
      <c r="AE42" s="63" t="str">
        <f>"-"</f>
        <v>-</v>
      </c>
      <c r="AF42" s="37">
        <v>337.77</v>
      </c>
      <c r="AG42" s="63" t="s">
        <v>95</v>
      </c>
      <c r="AH42" s="67" t="str">
        <f>"BENSON_x000D_MOH HOLDINGS PTE LTD 1 NORTH BUONA VISTA LINK ELEMENTUM #09-01 SINGAPORE 139691_x000D_BENSON_x000D_TEL: 88776020_x000D_FAX: _x000D_EMAIL: benson.chen@synapxe.sg"</f>
        <v>BENSON_x000D_MOH HOLDINGS PTE LTD 1 NORTH BUONA VISTA LINK ELEMENTUM #09-01 SINGAPORE 139691_x000D_BENSON_x000D_TEL: 88776020_x000D_FAX: _x000D_EMAIL: benson.chen@synapxe.sg</v>
      </c>
      <c r="AI42" s="18"/>
      <c r="AJ42" s="63" t="s">
        <v>96</v>
      </c>
      <c r="AK42" s="4" t="str">
        <f>"MS359-00993GLP"</f>
        <v>MS359-00993GLP</v>
      </c>
      <c r="AL42" s="4" t="str">
        <f>"MS SQL CAL SLNG LSA USER CAL"</f>
        <v>MS SQL CAL SLNG LSA USER CAL</v>
      </c>
      <c r="AM42" s="75" t="s">
        <v>767</v>
      </c>
      <c r="AN42" s="3" t="s">
        <v>771</v>
      </c>
      <c r="AO42" s="4" t="s">
        <v>773</v>
      </c>
      <c r="AP42" s="4" t="str">
        <f>"-"</f>
        <v>-</v>
      </c>
    </row>
    <row r="43" spans="1:49">
      <c r="A43" s="1" t="s">
        <v>136</v>
      </c>
      <c r="B43" s="1" t="str">
        <f t="shared" si="0"/>
        <v>Show</v>
      </c>
      <c r="C43" s="4" t="s">
        <v>48</v>
      </c>
      <c r="E43" s="13" t="str">
        <f>"""UICACS"","""",""SQL="",""2=DOCNUM"",""33035908"",""14=CUSTREF"",""9310005761"",""14=U_CUSTREF"",""9310005761"",""15=DOCDATE"",""16/7/2024"",""15=TAXDATE"",""16/7/2024"",""14=CARDCODE"",""CM0159-SGD"",""14=CARDNAME"",""MOH HOLDINGS PTE LTD"",""14=ITEMCODE"",""MS228-04538GLP"",""14=ITEMNAME"","""&amp;"MS SQL SERVER STANDARD SLNG LSA"",""10=QUANTITY"",""1.000000"",""14=U_PONO"",""951360"",""15=U_PODATE"",""15/7/2024"",""10=U_TLINTCOS"",""0.000000"",""2=SLPCODE"",""132"",""14=SLPNAME"",""E0001-CS"",""14=MEMO"",""WENDY KUM CHIOU SZE"",""14=CONTACTNAME"",""E-INVOICE (AP DIRECT)"",""10=LINE"&amp;"TOTAL"",""1440.750000"",""14=U_ENR"","""",""14=U_MSENR"",""S7138270"",""14=U_MSPCN"",""9EC935A8"",""14=ADDRESS2"",""BENSON_x000D_MOH HOLDINGS PTE LTD 1 NORTH BUONA VISTA LINK ELEMENTUM #09-01 SINGAPORE 139691_x000D_BENSON_x000D_TEL: 88776020_x000D_FAX: _x000D_EMAIL: benson.chen@synapxe.sg"""</f>
        <v>"UICACS","","SQL=","2=DOCNUM","33035908","14=CUSTREF","9310005761","14=U_CUSTREF","9310005761","15=DOCDATE","16/7/2024","15=TAXDATE","16/7/2024","14=CARDCODE","CM0159-SGD","14=CARDNAME","MOH HOLDINGS PTE LTD","14=ITEMCODE","MS228-04538GLP","14=ITEMNAME","MS SQL SERVER STANDARD SLNG LSA","10=QUANTITY","1.000000","14=U_PONO","951360","15=U_PODATE","15/7/2024","10=U_TLINTCOS","0.000000","2=SLPCODE","132","14=SLPNAME","E0001-CS","14=MEMO","WENDY KUM CHIOU SZE","14=CONTACTNAME","E-INVOICE (AP DIRECT)","10=LINETOTAL","1440.750000","14=U_ENR","","14=U_MSENR","S7138270","14=U_MSPCN","9EC935A8","14=ADDRESS2","BENSON_x000D_MOH HOLDINGS PTE LTD 1 NORTH BUONA VISTA LINK ELEMENTUM #09-01 SINGAPORE 139691_x000D_BENSON_x000D_TEL: 88776020_x000D_FAX: _x000D_EMAIL: benson.chen@synapxe.sg"</v>
      </c>
      <c r="K43" s="4">
        <f>MONTH(N43)</f>
        <v>7</v>
      </c>
      <c r="L43" s="4">
        <f>YEAR(N43)</f>
        <v>2024</v>
      </c>
      <c r="M43" s="4">
        <v>33035908</v>
      </c>
      <c r="N43" s="38">
        <v>45489</v>
      </c>
      <c r="O43" s="4" t="str">
        <f>"S7138270"</f>
        <v>S7138270</v>
      </c>
      <c r="P43" s="4" t="str">
        <f>"9EC935A8"</f>
        <v>9EC935A8</v>
      </c>
      <c r="Q43" s="4" t="str">
        <f>"CM0159-SGD"</f>
        <v>CM0159-SGD</v>
      </c>
      <c r="R43" s="4" t="str">
        <f>"MOH HOLDINGS PTE LTD"</f>
        <v>MOH HOLDINGS PTE LTD</v>
      </c>
      <c r="S43" s="50" t="str">
        <f>"951360"</f>
        <v>951360</v>
      </c>
      <c r="T43" s="50">
        <v>45488</v>
      </c>
      <c r="U43" s="50" t="str">
        <f>"9310005761"</f>
        <v>9310005761</v>
      </c>
      <c r="V43" s="50">
        <v>45489</v>
      </c>
      <c r="W43" s="51">
        <f>SUM(N43-T43)</f>
        <v>1</v>
      </c>
      <c r="X43" s="65" t="str">
        <f>"MS228-04538GLP"</f>
        <v>MS228-04538GLP</v>
      </c>
      <c r="Y43" s="65" t="str">
        <f>"MS SQL SERVER STANDARD SLNG LSA"</f>
        <v>MS SQL SERVER STANDARD SLNG LSA</v>
      </c>
      <c r="Z43" s="65" t="str">
        <f>"WENDY KUM CHIOU SZE"</f>
        <v>WENDY KUM CHIOU SZE</v>
      </c>
      <c r="AA43" s="60">
        <v>1</v>
      </c>
      <c r="AB43" s="65" t="str">
        <f>"E-INVOICE (AP DIRECT)"</f>
        <v>E-INVOICE (AP DIRECT)</v>
      </c>
      <c r="AC43" s="37">
        <f>IFERROR(AD43/AA43,0)</f>
        <v>1440.75</v>
      </c>
      <c r="AD43" s="37">
        <v>1440.75</v>
      </c>
      <c r="AE43" s="63" t="str">
        <f>"-"</f>
        <v>-</v>
      </c>
      <c r="AF43" s="37">
        <v>1440.75</v>
      </c>
      <c r="AG43" s="63" t="s">
        <v>95</v>
      </c>
      <c r="AH43" s="67" t="str">
        <f>"BENSON_x000D_MOH HOLDINGS PTE LTD 1 NORTH BUONA VISTA LINK ELEMENTUM #09-01 SINGAPORE 139691_x000D_BENSON_x000D_TEL: 88776020_x000D_FAX: _x000D_EMAIL: benson.chen@synapxe.sg"</f>
        <v>BENSON_x000D_MOH HOLDINGS PTE LTD 1 NORTH BUONA VISTA LINK ELEMENTUM #09-01 SINGAPORE 139691_x000D_BENSON_x000D_TEL: 88776020_x000D_FAX: _x000D_EMAIL: benson.chen@synapxe.sg</v>
      </c>
      <c r="AI43" s="18"/>
      <c r="AJ43" s="63" t="s">
        <v>96</v>
      </c>
      <c r="AK43" s="4" t="str">
        <f>"MS228-04538GLP"</f>
        <v>MS228-04538GLP</v>
      </c>
      <c r="AL43" s="4" t="str">
        <f>"MS SQL SERVER STANDARD SLNG LSA"</f>
        <v>MS SQL SERVER STANDARD SLNG LSA</v>
      </c>
      <c r="AM43" s="75" t="s">
        <v>767</v>
      </c>
      <c r="AN43" s="3" t="s">
        <v>771</v>
      </c>
      <c r="AO43" s="4" t="s">
        <v>773</v>
      </c>
      <c r="AP43" s="4" t="str">
        <f>"-"</f>
        <v>-</v>
      </c>
    </row>
    <row r="44" spans="1:49">
      <c r="A44" s="1" t="s">
        <v>136</v>
      </c>
      <c r="B44" s="1" t="str">
        <f t="shared" si="0"/>
        <v>Show</v>
      </c>
      <c r="C44" s="4" t="s">
        <v>48</v>
      </c>
      <c r="E44" s="13" t="str">
        <f>"""UICACS"","""",""SQL="",""2=DOCNUM"",""33035958"",""14=CUSTREF"",""8100000259"",""14=U_CUSTREF"",""8100000259"",""15=DOCDATE"",""23/7/2024"",""15=TAXDATE"",""23/7/2024"",""14=CARDCODE"",""CI0099-SGD"",""14=CARDNAME"",""SYNAPXE PTE. LTD."",""14=ITEMCODE"",""MS021-10695GLP"",""14=ITEMNAME"",""MS "&amp;"OFFICE STD 2021 SNGL LTSC"",""10=QUANTITY"",""10.000000"",""14=U_PONO"",""951494"",""15=U_PODATE"",""22/7/2024"",""10=U_TLINTCOS"",""0.000000"",""2=SLPCODE"",""132"",""14=SLPNAME"",""E0001-CS"",""14=MEMO"",""WENDY KUM CHIOU SZE"",""14=CONTACTNAME"",""E-INVOICE(AP DIRECT)"",""10=LINETOTAL"""&amp;",""4106.400000"",""14=U_ENR"","""",""14=U_MSENR"",""S7138270"",""14=U_MSPCN"",""AD5A91AA"",""14=ADDRESS2"",""KOH TECK WEN_x000D_SYNAPXE PTE. LTD. 1 NORTH BOUNA VISTA LINK, #05-01 ELEMENTUM SINGAPORE 139691_x000D_KOH TECK WEN_x000D_TEL: 6594 2874 / 97717727_x000D_FAX: _x000D_EMAIL: koh.teck.wen@synapxe"&amp;".sg"""</f>
        <v>"UICACS","","SQL=","2=DOCNUM","33035958","14=CUSTREF","8100000259","14=U_CUSTREF","8100000259","15=DOCDATE","23/7/2024","15=TAXDATE","23/7/2024","14=CARDCODE","CI0099-SGD","14=CARDNAME","SYNAPXE PTE. LTD.","14=ITEMCODE","MS021-10695GLP","14=ITEMNAME","MS OFFICE STD 2021 SNGL LTSC","10=QUANTITY","10.000000","14=U_PONO","951494","15=U_PODATE","22/7/2024","10=U_TLINTCOS","0.000000","2=SLPCODE","132","14=SLPNAME","E0001-CS","14=MEMO","WENDY KUM CHIOU SZE","14=CONTACTNAME","E-INVOICE(AP DIRECT)","10=LINETOTAL","4106.400000","14=U_ENR","","14=U_MSENR","S7138270","14=U_MSPCN","AD5A91AA","14=ADDRESS2","KOH TECK WEN_x000D_SYNAPXE PTE. LTD. 1 NORTH BOUNA VISTA LINK, #05-01 ELEMENTUM SINGAPORE 139691_x000D_KOH TECK WEN_x000D_TEL: 6594 2874 / 97717727_x000D_FAX: _x000D_EMAIL: koh.teck.wen@synapxe.sg"</v>
      </c>
      <c r="K44" s="4">
        <f>MONTH(N44)</f>
        <v>7</v>
      </c>
      <c r="L44" s="4">
        <f>YEAR(N44)</f>
        <v>2024</v>
      </c>
      <c r="M44" s="4">
        <v>33035958</v>
      </c>
      <c r="N44" s="38">
        <v>45496</v>
      </c>
      <c r="O44" s="4" t="str">
        <f>"S7138270"</f>
        <v>S7138270</v>
      </c>
      <c r="P44" s="4" t="str">
        <f>"AD5A91AA"</f>
        <v>AD5A91AA</v>
      </c>
      <c r="Q44" s="4" t="str">
        <f>"CI0099-SGD"</f>
        <v>CI0099-SGD</v>
      </c>
      <c r="R44" s="4" t="str">
        <f>"SYNAPXE PTE. LTD."</f>
        <v>SYNAPXE PTE. LTD.</v>
      </c>
      <c r="S44" s="50" t="str">
        <f>"951494"</f>
        <v>951494</v>
      </c>
      <c r="T44" s="50">
        <v>45495</v>
      </c>
      <c r="U44" s="50" t="str">
        <f>"8100000259"</f>
        <v>8100000259</v>
      </c>
      <c r="V44" s="50">
        <v>45496</v>
      </c>
      <c r="W44" s="51">
        <f>SUM(N44-T44)</f>
        <v>1</v>
      </c>
      <c r="X44" s="65" t="str">
        <f>"MS021-10695GLP"</f>
        <v>MS021-10695GLP</v>
      </c>
      <c r="Y44" s="65" t="str">
        <f>"MS OFFICE STD 2021 SNGL LTSC"</f>
        <v>MS OFFICE STD 2021 SNGL LTSC</v>
      </c>
      <c r="Z44" s="65" t="str">
        <f>"WENDY KUM CHIOU SZE"</f>
        <v>WENDY KUM CHIOU SZE</v>
      </c>
      <c r="AA44" s="60">
        <v>10</v>
      </c>
      <c r="AB44" s="65" t="str">
        <f>"E-INVOICE(AP DIRECT)"</f>
        <v>E-INVOICE(AP DIRECT)</v>
      </c>
      <c r="AC44" s="37">
        <f>IFERROR(AD44/AA44,0)</f>
        <v>410.64</v>
      </c>
      <c r="AD44" s="37">
        <v>4106.3999999999996</v>
      </c>
      <c r="AE44" s="63" t="str">
        <f>"-"</f>
        <v>-</v>
      </c>
      <c r="AF44" s="37">
        <v>4106.3999999999996</v>
      </c>
      <c r="AG44" s="63" t="s">
        <v>95</v>
      </c>
      <c r="AH44" s="67" t="str">
        <f>"KOH TECK WEN_x000D_SYNAPXE PTE. LTD. 1 NORTH BOUNA VISTA LINK, #05-01 ELEMENTUM SINGAPORE 139691_x000D_KOH TECK WEN_x000D_TEL: 6594 2874 / 97717727_x000D_FAX: _x000D_EMAIL: koh.teck.wen@synapxe.sg"</f>
        <v>KOH TECK WEN_x000D_SYNAPXE PTE. LTD. 1 NORTH BOUNA VISTA LINK, #05-01 ELEMENTUM SINGAPORE 139691_x000D_KOH TECK WEN_x000D_TEL: 6594 2874 / 97717727_x000D_FAX: _x000D_EMAIL: koh.teck.wen@synapxe.sg</v>
      </c>
      <c r="AI44" s="18"/>
      <c r="AJ44" s="63" t="s">
        <v>96</v>
      </c>
      <c r="AK44" s="4" t="str">
        <f>"MS021-10695GLP"</f>
        <v>MS021-10695GLP</v>
      </c>
      <c r="AL44" s="4" t="str">
        <f>"MS OFFICE STD 2021 SNGL LTSC"</f>
        <v>MS OFFICE STD 2021 SNGL LTSC</v>
      </c>
      <c r="AM44" s="3" t="s">
        <v>774</v>
      </c>
      <c r="AN44" s="3" t="s">
        <v>774</v>
      </c>
      <c r="AO44" s="3" t="s">
        <v>774</v>
      </c>
      <c r="AP44" s="4" t="s">
        <v>775</v>
      </c>
    </row>
    <row r="45" spans="1:49" hidden="1">
      <c r="B45" s="1" t="str">
        <f>IF(M45="","Hide","Show")</f>
        <v>Hide</v>
      </c>
      <c r="C45" s="4" t="s">
        <v>49</v>
      </c>
      <c r="E45" s="13" t="str">
        <f>""</f>
        <v/>
      </c>
      <c r="M45" s="4" t="str">
        <f>""</f>
        <v/>
      </c>
      <c r="N45" s="38" t="str">
        <f>""</f>
        <v/>
      </c>
      <c r="O45" s="4" t="str">
        <f>""</f>
        <v/>
      </c>
      <c r="P45" s="4"/>
      <c r="Q45" s="4" t="str">
        <f>""</f>
        <v/>
      </c>
      <c r="R45" s="4" t="str">
        <f>""</f>
        <v/>
      </c>
      <c r="T45" s="45" t="str">
        <f>""</f>
        <v/>
      </c>
      <c r="U45" s="45" t="str">
        <f>""</f>
        <v/>
      </c>
      <c r="V45" s="52"/>
      <c r="W45" s="51"/>
      <c r="X45" s="4" t="str">
        <f>""</f>
        <v/>
      </c>
      <c r="Y45" s="4" t="str">
        <f>""</f>
        <v/>
      </c>
      <c r="Z45" s="4" t="str">
        <f>""</f>
        <v/>
      </c>
      <c r="AA45" s="60" t="str">
        <f>""</f>
        <v/>
      </c>
      <c r="AB45" s="4" t="str">
        <f>""</f>
        <v/>
      </c>
      <c r="AC45" s="37">
        <f>IFERROR(AD45/AA45,0)</f>
        <v>0</v>
      </c>
      <c r="AD45" s="37" t="str">
        <f>""</f>
        <v/>
      </c>
      <c r="AE45" s="63"/>
      <c r="AF45" s="18"/>
      <c r="AG45" s="63"/>
      <c r="AH45" s="18" t="str">
        <f>""</f>
        <v/>
      </c>
      <c r="AI45" s="18"/>
      <c r="AJ45" s="63"/>
      <c r="AK45" s="18"/>
      <c r="AL45" s="5" t="str">
        <f>""</f>
        <v/>
      </c>
      <c r="AM45" s="3" t="str">
        <f>""</f>
        <v/>
      </c>
    </row>
    <row r="46" spans="1:49" hidden="1">
      <c r="B46" s="1" t="str">
        <f>IF(M46="","Hide","Show")</f>
        <v>Hide</v>
      </c>
      <c r="C46" s="4" t="s">
        <v>50</v>
      </c>
      <c r="E46" s="13" t="str">
        <f>""</f>
        <v/>
      </c>
      <c r="M46" s="4" t="str">
        <f>""</f>
        <v/>
      </c>
      <c r="N46" s="38" t="str">
        <f>""</f>
        <v/>
      </c>
      <c r="O46" s="4" t="str">
        <f>""</f>
        <v/>
      </c>
      <c r="P46" s="4"/>
      <c r="Q46" s="4" t="str">
        <f>""</f>
        <v/>
      </c>
      <c r="R46" s="4" t="str">
        <f>""</f>
        <v/>
      </c>
      <c r="T46" s="45" t="str">
        <f>""</f>
        <v/>
      </c>
      <c r="U46" s="45" t="str">
        <f>""</f>
        <v/>
      </c>
      <c r="V46" s="52"/>
      <c r="W46" s="51"/>
      <c r="X46" s="4" t="str">
        <f>""</f>
        <v/>
      </c>
      <c r="Y46" s="4" t="str">
        <f>""</f>
        <v/>
      </c>
      <c r="Z46" s="4" t="str">
        <f>""</f>
        <v/>
      </c>
      <c r="AA46" s="60" t="str">
        <f>""</f>
        <v/>
      </c>
      <c r="AB46" s="4" t="str">
        <f>""</f>
        <v/>
      </c>
      <c r="AC46" s="37">
        <f>IFERROR(AD46/AA46,0)</f>
        <v>0</v>
      </c>
      <c r="AD46" s="37" t="str">
        <f>""</f>
        <v/>
      </c>
      <c r="AE46" s="63"/>
      <c r="AF46" s="18"/>
      <c r="AG46" s="63"/>
      <c r="AH46" s="18"/>
      <c r="AI46" s="18"/>
      <c r="AJ46" s="63"/>
      <c r="AK46" s="18"/>
      <c r="AL46" s="5" t="str">
        <f>""</f>
        <v/>
      </c>
      <c r="AM46" s="3" t="str">
        <f>""</f>
        <v/>
      </c>
    </row>
    <row r="47" spans="1:49">
      <c r="M47" s="69"/>
      <c r="N47" s="70"/>
      <c r="O47" s="4"/>
      <c r="R47" s="69"/>
      <c r="T47" s="50"/>
      <c r="V47" s="50"/>
      <c r="W47" s="51"/>
      <c r="AC47" s="37"/>
      <c r="AD47" s="37"/>
      <c r="AF47" s="37"/>
      <c r="AH47" s="71"/>
      <c r="AJ47" s="63"/>
      <c r="AL47" s="5"/>
      <c r="AN47" s="21"/>
      <c r="AO47" s="21"/>
    </row>
    <row r="48" spans="1:49">
      <c r="AW48" s="16"/>
    </row>
    <row r="49" spans="50:61">
      <c r="AX49" s="16"/>
    </row>
    <row r="50" spans="50:61">
      <c r="AY50" s="16"/>
    </row>
    <row r="51" spans="50:61">
      <c r="AZ51" s="16"/>
    </row>
    <row r="52" spans="50:61">
      <c r="BA52" s="16"/>
    </row>
    <row r="53" spans="50:61">
      <c r="BB53" s="16"/>
    </row>
    <row r="54" spans="50:61">
      <c r="BC54" s="16"/>
    </row>
    <row r="55" spans="50:61">
      <c r="BD55" s="16"/>
    </row>
    <row r="56" spans="50:61">
      <c r="BE56" s="16"/>
    </row>
    <row r="57" spans="50:61">
      <c r="BF57" s="16"/>
    </row>
    <row r="58" spans="50:61">
      <c r="BG58" s="16"/>
    </row>
    <row r="59" spans="50:61">
      <c r="BH59" s="16"/>
    </row>
    <row r="60" spans="50:61">
      <c r="BI60" s="16"/>
    </row>
  </sheetData>
  <sortState xmlns:xlrd2="http://schemas.microsoft.com/office/spreadsheetml/2017/richdata2" ref="M24:AP410">
    <sortCondition ref="Q24:Q412"/>
  </sortState>
  <mergeCells count="1">
    <mergeCell ref="M21:AM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D1644-AE67-4B9C-BF87-A8BDCBB6BE87}">
  <dimension ref="A1"/>
  <sheetViews>
    <sheetView workbookViewId="0">
      <selection activeCell="E7" sqref="E7:F7"/>
    </sheetView>
  </sheetViews>
  <sheetFormatPr defaultRowHeight="15"/>
  <cols>
    <col min="1" max="1" width="8.7109375" hidden="1" customWidth="1"/>
  </cols>
  <sheetData>
    <row r="1" spans="1:1" hidden="1">
      <c r="A1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2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75</v>
      </c>
    </row>
    <row r="2" spans="1:19">
      <c r="B2" s="28" t="s">
        <v>14</v>
      </c>
      <c r="C2" s="28" t="s">
        <v>16</v>
      </c>
      <c r="D2" s="28" t="s">
        <v>30</v>
      </c>
      <c r="E2" s="28" t="s">
        <v>31</v>
      </c>
      <c r="F2" s="28" t="s">
        <v>32</v>
      </c>
      <c r="G2" s="28" t="s">
        <v>33</v>
      </c>
      <c r="H2" s="28" t="s">
        <v>34</v>
      </c>
      <c r="I2" s="28" t="s">
        <v>35</v>
      </c>
      <c r="J2" s="28" t="s">
        <v>36</v>
      </c>
      <c r="K2" s="28" t="s">
        <v>12</v>
      </c>
      <c r="L2" s="28" t="s">
        <v>32</v>
      </c>
      <c r="M2" s="28" t="s">
        <v>13</v>
      </c>
      <c r="N2" s="28" t="s">
        <v>37</v>
      </c>
      <c r="O2" s="28" t="s">
        <v>38</v>
      </c>
      <c r="P2" s="29" t="s">
        <v>17</v>
      </c>
      <c r="Q2" s="28" t="s">
        <v>15</v>
      </c>
      <c r="R2" s="29" t="s">
        <v>57</v>
      </c>
      <c r="S2" s="30" t="s">
        <v>58</v>
      </c>
    </row>
    <row r="3" spans="1:19">
      <c r="B3" s="31" t="s">
        <v>59</v>
      </c>
      <c r="C3" s="32" t="s">
        <v>60</v>
      </c>
      <c r="D3" s="31" t="s">
        <v>39</v>
      </c>
      <c r="E3" s="31" t="s">
        <v>61</v>
      </c>
      <c r="F3" s="31" t="s">
        <v>62</v>
      </c>
      <c r="G3" s="31" t="s">
        <v>63</v>
      </c>
      <c r="H3" s="31" t="s">
        <v>64</v>
      </c>
      <c r="I3" s="31" t="s">
        <v>40</v>
      </c>
      <c r="J3" s="31" t="s">
        <v>65</v>
      </c>
      <c r="K3" s="31" t="s">
        <v>66</v>
      </c>
      <c r="L3" s="31" t="s">
        <v>67</v>
      </c>
      <c r="M3" s="31" t="s">
        <v>68</v>
      </c>
      <c r="N3" s="31" t="s">
        <v>69</v>
      </c>
      <c r="O3" s="31" t="s">
        <v>70</v>
      </c>
      <c r="P3" s="32" t="s">
        <v>71</v>
      </c>
      <c r="Q3" s="31" t="s">
        <v>72</v>
      </c>
      <c r="R3" s="33" t="e">
        <v>#VALUE!</v>
      </c>
      <c r="S3" s="33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3"/>
      <c r="S4" s="33"/>
    </row>
    <row r="5" spans="1:19" ht="195">
      <c r="B5" t="s">
        <v>74</v>
      </c>
      <c r="C5" s="27" t="s">
        <v>54</v>
      </c>
    </row>
    <row r="7" spans="1:19" ht="195">
      <c r="C7" s="27" t="s">
        <v>56</v>
      </c>
    </row>
    <row r="9" spans="1:19" ht="195">
      <c r="C9" s="27" t="s">
        <v>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5C6C-A33E-43C8-9FD1-6649F87953A5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EF184-2638-476C-9E0E-EB316C680DF7}">
  <dimension ref="A1:E13"/>
  <sheetViews>
    <sheetView workbookViewId="0"/>
  </sheetViews>
  <sheetFormatPr defaultRowHeight="15"/>
  <sheetData>
    <row r="1" spans="1:5">
      <c r="A1" s="68" t="s">
        <v>104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6A152-82C8-4FF5-8128-41C5B959C82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7DB50-AB92-4A10-8716-B2E2FC07F4E6}">
  <dimension ref="A1:AV28"/>
  <sheetViews>
    <sheetView workbookViewId="0"/>
  </sheetViews>
  <sheetFormatPr defaultRowHeight="15"/>
  <sheetData>
    <row r="1" spans="1:48">
      <c r="A1" s="68" t="s">
        <v>135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M1" s="68" t="s">
        <v>18</v>
      </c>
      <c r="N1" s="68" t="s">
        <v>18</v>
      </c>
      <c r="O1" s="68" t="s">
        <v>18</v>
      </c>
      <c r="Q1" s="68" t="s">
        <v>18</v>
      </c>
      <c r="R1" s="68" t="s">
        <v>18</v>
      </c>
      <c r="T1" s="68" t="s">
        <v>18</v>
      </c>
      <c r="U1" s="68" t="s">
        <v>18</v>
      </c>
      <c r="V1" s="68" t="s">
        <v>18</v>
      </c>
      <c r="X1" s="68" t="s">
        <v>7</v>
      </c>
      <c r="Y1" s="68" t="s">
        <v>7</v>
      </c>
      <c r="Z1" s="68" t="s">
        <v>18</v>
      </c>
      <c r="AA1" s="68" t="s">
        <v>18</v>
      </c>
      <c r="AB1" s="68" t="s">
        <v>18</v>
      </c>
      <c r="AL1" s="68" t="s">
        <v>18</v>
      </c>
      <c r="AM1" s="68" t="s">
        <v>18</v>
      </c>
      <c r="AU1" s="68" t="s">
        <v>7</v>
      </c>
      <c r="AV1" s="68" t="s">
        <v>7</v>
      </c>
    </row>
    <row r="2" spans="1:48">
      <c r="A2" s="68" t="s">
        <v>7</v>
      </c>
      <c r="D2" s="68" t="s">
        <v>19</v>
      </c>
      <c r="E2" s="68" t="s">
        <v>105</v>
      </c>
    </row>
    <row r="3" spans="1:48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48">
      <c r="A4" s="68" t="s">
        <v>7</v>
      </c>
      <c r="C4" s="68" t="s">
        <v>11</v>
      </c>
      <c r="D4" s="68" t="s">
        <v>106</v>
      </c>
      <c r="E4" s="68" t="s">
        <v>107</v>
      </c>
      <c r="F4" s="68" t="s">
        <v>51</v>
      </c>
      <c r="G4" s="68" t="s">
        <v>25</v>
      </c>
      <c r="H4" s="68" t="s">
        <v>108</v>
      </c>
    </row>
    <row r="5" spans="1:48">
      <c r="A5" s="68" t="s">
        <v>7</v>
      </c>
      <c r="C5" s="68" t="s">
        <v>10</v>
      </c>
      <c r="D5" s="68" t="s">
        <v>109</v>
      </c>
      <c r="E5" s="68" t="s">
        <v>110</v>
      </c>
      <c r="F5" s="68" t="s">
        <v>52</v>
      </c>
      <c r="G5" s="68" t="s">
        <v>25</v>
      </c>
      <c r="H5" s="68" t="s">
        <v>108</v>
      </c>
      <c r="I5" s="68" t="s">
        <v>111</v>
      </c>
    </row>
    <row r="6" spans="1:48">
      <c r="A6" s="68" t="s">
        <v>7</v>
      </c>
      <c r="C6" s="68" t="s">
        <v>41</v>
      </c>
      <c r="D6" s="68" t="s">
        <v>112</v>
      </c>
      <c r="E6" s="68" t="s">
        <v>113</v>
      </c>
      <c r="F6" s="68" t="s">
        <v>52</v>
      </c>
      <c r="G6" s="68" t="s">
        <v>25</v>
      </c>
      <c r="H6" s="68" t="s">
        <v>108</v>
      </c>
      <c r="I6" s="68" t="s">
        <v>114</v>
      </c>
    </row>
    <row r="7" spans="1:48">
      <c r="A7" s="68" t="s">
        <v>7</v>
      </c>
    </row>
    <row r="8" spans="1:48">
      <c r="A8" s="68" t="s">
        <v>7</v>
      </c>
    </row>
    <row r="9" spans="1:48">
      <c r="A9" s="68" t="s">
        <v>7</v>
      </c>
    </row>
    <row r="10" spans="1:48">
      <c r="A10" s="68" t="s">
        <v>7</v>
      </c>
    </row>
    <row r="11" spans="1:48">
      <c r="A11" s="68" t="s">
        <v>7</v>
      </c>
      <c r="C11" s="68" t="s">
        <v>27</v>
      </c>
      <c r="E11" s="68" t="s">
        <v>115</v>
      </c>
    </row>
    <row r="12" spans="1:48">
      <c r="A12" s="68" t="s">
        <v>7</v>
      </c>
      <c r="C12" s="68" t="s">
        <v>28</v>
      </c>
      <c r="E12" s="68" t="s">
        <v>116</v>
      </c>
    </row>
    <row r="13" spans="1:48">
      <c r="A13" s="68" t="s">
        <v>7</v>
      </c>
      <c r="C13" s="68" t="s">
        <v>42</v>
      </c>
      <c r="E13" s="68" t="s">
        <v>117</v>
      </c>
    </row>
    <row r="14" spans="1:48">
      <c r="A14" s="68" t="s">
        <v>7</v>
      </c>
      <c r="C14" s="68" t="s">
        <v>39</v>
      </c>
      <c r="E14" s="68" t="s">
        <v>118</v>
      </c>
    </row>
    <row r="15" spans="1:48">
      <c r="A15" s="68" t="s">
        <v>7</v>
      </c>
      <c r="C15" s="68" t="s">
        <v>43</v>
      </c>
      <c r="E15" s="68" t="s">
        <v>119</v>
      </c>
    </row>
    <row r="16" spans="1:48">
      <c r="A16" s="68" t="s">
        <v>7</v>
      </c>
      <c r="C16" s="68" t="s">
        <v>44</v>
      </c>
      <c r="E16" s="68" t="s">
        <v>120</v>
      </c>
    </row>
    <row r="17" spans="1:42">
      <c r="A17" s="68" t="s">
        <v>7</v>
      </c>
    </row>
    <row r="18" spans="1:42">
      <c r="A18" s="68" t="s">
        <v>7</v>
      </c>
    </row>
    <row r="21" spans="1:42">
      <c r="M21" s="68" t="s">
        <v>76</v>
      </c>
    </row>
    <row r="23" spans="1:42">
      <c r="E23" s="68" t="s">
        <v>29</v>
      </c>
      <c r="K23" s="68" t="s">
        <v>77</v>
      </c>
      <c r="L23" s="68" t="s">
        <v>78</v>
      </c>
      <c r="M23" s="68" t="s">
        <v>14</v>
      </c>
      <c r="N23" s="68" t="s">
        <v>16</v>
      </c>
      <c r="O23" s="68" t="s">
        <v>30</v>
      </c>
      <c r="P23" s="68" t="s">
        <v>79</v>
      </c>
      <c r="Q23" s="68" t="s">
        <v>31</v>
      </c>
      <c r="R23" s="68" t="s">
        <v>38</v>
      </c>
      <c r="S23" s="68" t="s">
        <v>15</v>
      </c>
      <c r="T23" s="68" t="s">
        <v>80</v>
      </c>
      <c r="U23" s="68" t="s">
        <v>34</v>
      </c>
      <c r="V23" s="68" t="s">
        <v>81</v>
      </c>
      <c r="W23" s="68" t="s">
        <v>82</v>
      </c>
      <c r="X23" s="68" t="s">
        <v>36</v>
      </c>
      <c r="Y23" s="68" t="s">
        <v>12</v>
      </c>
      <c r="Z23" s="68" t="s">
        <v>32</v>
      </c>
      <c r="AA23" s="68" t="s">
        <v>13</v>
      </c>
      <c r="AB23" s="68" t="s">
        <v>37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94</v>
      </c>
      <c r="AK23" s="68" t="s">
        <v>88</v>
      </c>
      <c r="AL23" s="68" t="s">
        <v>89</v>
      </c>
      <c r="AM23" s="68" t="s">
        <v>90</v>
      </c>
      <c r="AN23" s="68" t="s">
        <v>91</v>
      </c>
      <c r="AO23" s="68" t="s">
        <v>92</v>
      </c>
      <c r="AP23" s="68" t="s">
        <v>93</v>
      </c>
    </row>
    <row r="24" spans="1:42">
      <c r="B24" s="68" t="s">
        <v>121</v>
      </c>
      <c r="C24" s="68" t="s">
        <v>48</v>
      </c>
      <c r="E24" s="68" t="s">
        <v>122</v>
      </c>
      <c r="K24" s="68" t="s">
        <v>123</v>
      </c>
      <c r="L24" s="68" t="s">
        <v>124</v>
      </c>
      <c r="M24" s="68" t="s">
        <v>152</v>
      </c>
      <c r="N24" s="68" t="s">
        <v>153</v>
      </c>
      <c r="O24" s="68" t="s">
        <v>154</v>
      </c>
      <c r="P24" s="68" t="s">
        <v>155</v>
      </c>
      <c r="Q24" s="68" t="s">
        <v>156</v>
      </c>
      <c r="R24" s="68" t="s">
        <v>157</v>
      </c>
      <c r="S24" s="68" t="s">
        <v>266</v>
      </c>
      <c r="T24" s="68" t="s">
        <v>158</v>
      </c>
      <c r="U24" s="68" t="s">
        <v>159</v>
      </c>
      <c r="V24" s="68" t="s">
        <v>160</v>
      </c>
      <c r="W24" s="68" t="s">
        <v>125</v>
      </c>
      <c r="X24" s="68" t="s">
        <v>161</v>
      </c>
      <c r="Y24" s="68" t="s">
        <v>162</v>
      </c>
      <c r="Z24" s="68" t="s">
        <v>163</v>
      </c>
      <c r="AA24" s="68" t="s">
        <v>164</v>
      </c>
      <c r="AB24" s="68" t="s">
        <v>165</v>
      </c>
      <c r="AC24" s="68" t="s">
        <v>126</v>
      </c>
      <c r="AD24" s="68" t="s">
        <v>166</v>
      </c>
      <c r="AE24" s="68" t="s">
        <v>167</v>
      </c>
      <c r="AF24" s="68" t="s">
        <v>166</v>
      </c>
      <c r="AG24" s="68" t="s">
        <v>95</v>
      </c>
      <c r="AH24" s="68" t="s">
        <v>168</v>
      </c>
      <c r="AJ24" s="68" t="s">
        <v>96</v>
      </c>
      <c r="AK24" s="68" t="s">
        <v>161</v>
      </c>
      <c r="AL24" s="68" t="s">
        <v>162</v>
      </c>
      <c r="AM24" s="68" t="s">
        <v>169</v>
      </c>
      <c r="AN24" s="68" t="s">
        <v>170</v>
      </c>
      <c r="AO24" s="68" t="s">
        <v>171</v>
      </c>
      <c r="AP24" s="68" t="s">
        <v>172</v>
      </c>
    </row>
    <row r="25" spans="1:42">
      <c r="B25" s="68" t="s">
        <v>127</v>
      </c>
      <c r="C25" s="68" t="s">
        <v>49</v>
      </c>
      <c r="E25" s="68" t="s">
        <v>128</v>
      </c>
      <c r="M25" s="68" t="s">
        <v>173</v>
      </c>
      <c r="N25" s="68" t="s">
        <v>174</v>
      </c>
      <c r="O25" s="68" t="s">
        <v>175</v>
      </c>
      <c r="Q25" s="68" t="s">
        <v>177</v>
      </c>
      <c r="R25" s="68" t="s">
        <v>178</v>
      </c>
      <c r="T25" s="68" t="s">
        <v>183</v>
      </c>
      <c r="U25" s="68" t="s">
        <v>179</v>
      </c>
      <c r="X25" s="68" t="s">
        <v>183</v>
      </c>
      <c r="Y25" s="68" t="s">
        <v>184</v>
      </c>
      <c r="Z25" s="68" t="s">
        <v>185</v>
      </c>
      <c r="AA25" s="68" t="s">
        <v>186</v>
      </c>
      <c r="AB25" s="68" t="s">
        <v>187</v>
      </c>
      <c r="AC25" s="68" t="s">
        <v>129</v>
      </c>
      <c r="AD25" s="68" t="s">
        <v>188</v>
      </c>
      <c r="AH25" s="68" t="s">
        <v>190</v>
      </c>
      <c r="AL25" s="68" t="s">
        <v>267</v>
      </c>
      <c r="AM25" s="68" t="s">
        <v>268</v>
      </c>
    </row>
    <row r="26" spans="1:42">
      <c r="B26" s="68" t="s">
        <v>130</v>
      </c>
      <c r="C26" s="68" t="s">
        <v>50</v>
      </c>
      <c r="E26" s="68" t="s">
        <v>131</v>
      </c>
      <c r="M26" s="68" t="s">
        <v>195</v>
      </c>
      <c r="N26" s="68" t="s">
        <v>196</v>
      </c>
      <c r="O26" s="68" t="s">
        <v>197</v>
      </c>
      <c r="Q26" s="68" t="s">
        <v>199</v>
      </c>
      <c r="R26" s="68" t="s">
        <v>200</v>
      </c>
      <c r="T26" s="68" t="s">
        <v>205</v>
      </c>
      <c r="U26" s="68" t="s">
        <v>201</v>
      </c>
      <c r="X26" s="68" t="s">
        <v>205</v>
      </c>
      <c r="Y26" s="68" t="s">
        <v>206</v>
      </c>
      <c r="Z26" s="68" t="s">
        <v>207</v>
      </c>
      <c r="AA26" s="68" t="s">
        <v>208</v>
      </c>
      <c r="AB26" s="68" t="s">
        <v>209</v>
      </c>
      <c r="AC26" s="68" t="s">
        <v>132</v>
      </c>
      <c r="AD26" s="68" t="s">
        <v>210</v>
      </c>
      <c r="AL26" s="68" t="s">
        <v>269</v>
      </c>
      <c r="AM26" s="68" t="s">
        <v>270</v>
      </c>
    </row>
    <row r="28" spans="1:42">
      <c r="AC28" s="68" t="s">
        <v>133</v>
      </c>
      <c r="AD28" s="68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7AE9-5D41-4524-92E6-34DE7D8EBBC8}">
  <dimension ref="A1:E13"/>
  <sheetViews>
    <sheetView workbookViewId="0"/>
  </sheetViews>
  <sheetFormatPr defaultRowHeight="15"/>
  <sheetData>
    <row r="1" spans="1:5">
      <c r="A1" s="68" t="s">
        <v>138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274</v>
      </c>
    </row>
    <row r="4" spans="1:5">
      <c r="A4" s="68" t="s">
        <v>0</v>
      </c>
      <c r="B4" s="68" t="s">
        <v>6</v>
      </c>
      <c r="C4" s="68" t="s">
        <v>275</v>
      </c>
    </row>
    <row r="5" spans="1:5">
      <c r="A5" s="68" t="s">
        <v>0</v>
      </c>
      <c r="B5" s="68" t="s">
        <v>26</v>
      </c>
      <c r="C5" s="68" t="s">
        <v>97</v>
      </c>
      <c r="D5" s="68" t="s">
        <v>98</v>
      </c>
      <c r="E5" s="68" t="s">
        <v>45</v>
      </c>
    </row>
    <row r="8" spans="1:5">
      <c r="A8" s="68" t="s">
        <v>8</v>
      </c>
      <c r="C8" s="68" t="s">
        <v>99</v>
      </c>
    </row>
    <row r="9" spans="1:5">
      <c r="A9" s="68" t="s">
        <v>9</v>
      </c>
      <c r="C9" s="68" t="s">
        <v>100</v>
      </c>
    </row>
    <row r="10" spans="1:5">
      <c r="B10" s="68" t="s">
        <v>42</v>
      </c>
      <c r="C10" s="68" t="s">
        <v>101</v>
      </c>
    </row>
    <row r="11" spans="1:5">
      <c r="B11" s="68" t="s">
        <v>39</v>
      </c>
      <c r="C11" s="68" t="s">
        <v>101</v>
      </c>
    </row>
    <row r="12" spans="1:5">
      <c r="B12" s="68" t="s">
        <v>43</v>
      </c>
      <c r="C12" s="68" t="s">
        <v>102</v>
      </c>
    </row>
    <row r="13" spans="1:5">
      <c r="B13" s="68" t="s">
        <v>44</v>
      </c>
      <c r="C13" s="68" t="s">
        <v>103</v>
      </c>
      <c r="D13" s="68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2024-08-02T00:58:58Z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