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 - NHG\"/>
    </mc:Choice>
  </mc:AlternateContent>
  <xr:revisionPtr revIDLastSave="0" documentId="8_{27D7C12B-C75F-43B9-A451-D23ED454654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18" state="veryHidden" r:id="rId5"/>
    <sheet name="Sheet3" sheetId="19" state="veryHidden" r:id="rId6"/>
    <sheet name="Sheet4" sheetId="20" state="veryHidden" r:id="rId7"/>
    <sheet name="Sheet5" sheetId="21" state="veryHidden" r:id="rId8"/>
    <sheet name="Sheet6" sheetId="22" state="veryHidden" r:id="rId9"/>
    <sheet name="Sheet7" sheetId="23" state="veryHidden" r:id="rId10"/>
  </sheets>
  <definedNames>
    <definedName name="_xlnm._FilterDatabase" localSheetId="1" hidden="1">Data!$K$23:$AL$32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W24" i="2"/>
  <c r="X24" i="2"/>
  <c r="Y24" i="2"/>
  <c r="Z24" i="2"/>
  <c r="AB24" i="2"/>
  <c r="AD24" i="2"/>
  <c r="AG24" i="2"/>
  <c r="AH24" i="2"/>
  <c r="AI24" i="2"/>
  <c r="AJ24" i="2"/>
  <c r="AK24" i="2"/>
  <c r="AL24" i="2"/>
  <c r="E25" i="2"/>
  <c r="K25" i="2"/>
  <c r="L25" i="2"/>
  <c r="O25" i="2"/>
  <c r="P25" i="2"/>
  <c r="R25" i="2"/>
  <c r="S25" i="2"/>
  <c r="T25" i="2"/>
  <c r="W25" i="2"/>
  <c r="X25" i="2"/>
  <c r="Y25" i="2"/>
  <c r="Z25" i="2"/>
  <c r="AB25" i="2"/>
  <c r="AD25" i="2"/>
  <c r="AG25" i="2"/>
  <c r="AH25" i="2"/>
  <c r="AI25" i="2"/>
  <c r="AJ25" i="2"/>
  <c r="AK25" i="2"/>
  <c r="AL25" i="2"/>
  <c r="E26" i="2"/>
  <c r="K26" i="2"/>
  <c r="L26" i="2"/>
  <c r="O26" i="2"/>
  <c r="P26" i="2"/>
  <c r="R26" i="2"/>
  <c r="S26" i="2"/>
  <c r="T26" i="2"/>
  <c r="W26" i="2"/>
  <c r="X26" i="2"/>
  <c r="Y26" i="2"/>
  <c r="Z26" i="2"/>
  <c r="AB26" i="2"/>
  <c r="AD26" i="2"/>
  <c r="AG26" i="2"/>
  <c r="AH26" i="2"/>
  <c r="AI26" i="2"/>
  <c r="AJ26" i="2"/>
  <c r="AK26" i="2"/>
  <c r="AL26" i="2"/>
  <c r="E27" i="2"/>
  <c r="K27" i="2"/>
  <c r="B27" i="2" s="1"/>
  <c r="L27" i="2"/>
  <c r="O27" i="2"/>
  <c r="P27" i="2"/>
  <c r="R27" i="2"/>
  <c r="S27" i="2"/>
  <c r="T27" i="2"/>
  <c r="W27" i="2"/>
  <c r="X27" i="2"/>
  <c r="Y27" i="2"/>
  <c r="Z27" i="2"/>
  <c r="AB27" i="2"/>
  <c r="AD27" i="2"/>
  <c r="AG27" i="2"/>
  <c r="AH27" i="2"/>
  <c r="AI27" i="2"/>
  <c r="AJ27" i="2"/>
  <c r="AK27" i="2"/>
  <c r="AL27" i="2"/>
  <c r="E28" i="2"/>
  <c r="K28" i="2"/>
  <c r="L28" i="2"/>
  <c r="O28" i="2"/>
  <c r="P28" i="2"/>
  <c r="R28" i="2"/>
  <c r="S28" i="2"/>
  <c r="T28" i="2"/>
  <c r="W28" i="2"/>
  <c r="X28" i="2"/>
  <c r="Y28" i="2"/>
  <c r="Z28" i="2"/>
  <c r="AB28" i="2"/>
  <c r="AD28" i="2"/>
  <c r="AG28" i="2"/>
  <c r="AH28" i="2"/>
  <c r="AI28" i="2"/>
  <c r="AJ28" i="2"/>
  <c r="AK28" i="2"/>
  <c r="AL28" i="2"/>
  <c r="E29" i="2"/>
  <c r="K29" i="2"/>
  <c r="L29" i="2"/>
  <c r="O29" i="2"/>
  <c r="P29" i="2"/>
  <c r="R29" i="2"/>
  <c r="S29" i="2"/>
  <c r="T29" i="2"/>
  <c r="W29" i="2"/>
  <c r="X29" i="2"/>
  <c r="Y29" i="2"/>
  <c r="Z29" i="2"/>
  <c r="AB29" i="2"/>
  <c r="AD29" i="2"/>
  <c r="AG29" i="2"/>
  <c r="AH29" i="2"/>
  <c r="AI29" i="2"/>
  <c r="AJ29" i="2"/>
  <c r="AK29" i="2"/>
  <c r="AL29" i="2"/>
  <c r="E30" i="2"/>
  <c r="K30" i="2"/>
  <c r="L30" i="2"/>
  <c r="O30" i="2"/>
  <c r="P30" i="2"/>
  <c r="R30" i="2"/>
  <c r="S30" i="2"/>
  <c r="T30" i="2"/>
  <c r="W30" i="2"/>
  <c r="X30" i="2"/>
  <c r="Y30" i="2"/>
  <c r="Z30" i="2"/>
  <c r="AB30" i="2"/>
  <c r="AD30" i="2"/>
  <c r="AG30" i="2"/>
  <c r="AH30" i="2"/>
  <c r="AL30" i="2"/>
  <c r="E31" i="2"/>
  <c r="K31" i="2"/>
  <c r="L31" i="2"/>
  <c r="O31" i="2"/>
  <c r="Q31" i="2"/>
  <c r="R31" i="2"/>
  <c r="S31" i="2"/>
  <c r="T31" i="2"/>
  <c r="X31" i="2"/>
  <c r="Y31" i="2"/>
  <c r="Z31" i="2"/>
  <c r="AA31" i="2"/>
  <c r="AB31" i="2"/>
  <c r="AD31" i="2"/>
  <c r="AE31" i="2"/>
  <c r="AF31" i="2"/>
  <c r="E32" i="2"/>
  <c r="K32" i="2"/>
  <c r="L32" i="2"/>
  <c r="O32" i="2"/>
  <c r="Q32" i="2"/>
  <c r="R32" i="2"/>
  <c r="S32" i="2"/>
  <c r="T32" i="2"/>
  <c r="X32" i="2"/>
  <c r="Y32" i="2"/>
  <c r="Z32" i="2"/>
  <c r="AA32" i="2"/>
  <c r="AB32" i="2"/>
  <c r="AE32" i="2"/>
  <c r="AF32" i="2"/>
  <c r="D5" i="1"/>
  <c r="B28" i="2"/>
  <c r="B25" i="2"/>
  <c r="B9" i="17"/>
  <c r="B8" i="17"/>
  <c r="B7" i="17"/>
  <c r="H6" i="2"/>
  <c r="H5" i="2"/>
  <c r="H4" i="2"/>
  <c r="E2" i="2"/>
  <c r="D15" i="1"/>
  <c r="D14" i="1"/>
  <c r="D13" i="1"/>
  <c r="C13" i="1"/>
  <c r="E16" i="2" s="1"/>
  <c r="C12" i="1"/>
  <c r="E15" i="2" s="1"/>
  <c r="C11" i="1"/>
  <c r="E14" i="2" s="1"/>
  <c r="C10" i="1"/>
  <c r="E13" i="2" s="1"/>
  <c r="C9" i="1"/>
  <c r="E11" i="2" s="1"/>
  <c r="C8" i="1"/>
  <c r="C5" i="1"/>
  <c r="E12" i="2" s="1"/>
  <c r="C4" i="1"/>
  <c r="C3" i="1"/>
  <c r="B29" i="2" l="1"/>
  <c r="B26" i="2"/>
  <c r="B30" i="2"/>
  <c r="D4" i="2"/>
  <c r="E4" i="2" s="1"/>
  <c r="D6" i="2"/>
  <c r="I6" i="2"/>
  <c r="I5" i="2"/>
  <c r="D5" i="2"/>
  <c r="E5" i="2" s="1"/>
  <c r="B31" i="2" l="1"/>
  <c r="E6" i="2"/>
  <c r="B24" i="2"/>
  <c r="B32" i="2" l="1"/>
</calcChain>
</file>

<file path=xl/sharedStrings.xml><?xml version="1.0" encoding="utf-8"?>
<sst xmlns="http://schemas.openxmlformats.org/spreadsheetml/2006/main" count="1121" uniqueCount="367">
  <si>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</si>
  <si>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</si>
  <si>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</si>
  <si>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</si>
  <si>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</si>
  <si>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</si>
  <si>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</si>
  <si>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</si>
  <si>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</si>
  <si>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</si>
  <si>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</si>
  <si>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</si>
  <si>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</si>
  <si>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</si>
  <si>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</si>
  <si>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</si>
  <si>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</si>
  <si>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</si>
  <si>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</si>
  <si>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</si>
  <si>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</si>
  <si>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</si>
  <si>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</si>
  <si>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</si>
  <si>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</si>
  <si>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</si>
  <si>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</si>
  <si>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</si>
  <si>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</si>
  <si>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</si>
  <si>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</si>
  <si>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</si>
  <si>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</si>
  <si>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</si>
  <si>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</si>
  <si>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</si>
  <si>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</si>
  <si>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</si>
  <si>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</si>
  <si>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</si>
  <si>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</si>
  <si>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</si>
  <si>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</si>
  <si>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</si>
  <si>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</si>
  <si>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</si>
  <si>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</si>
  <si>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</si>
  <si>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</si>
  <si>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</si>
  <si>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</si>
  <si>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</si>
  <si>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</si>
  <si>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</si>
  <si>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</si>
  <si>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</si>
  <si>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</si>
  <si>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</si>
  <si>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</si>
  <si>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</si>
  <si>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</si>
  <si>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</si>
  <si>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</si>
  <si>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</si>
  <si>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</si>
  <si>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</si>
  <si>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</si>
  <si>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</si>
  <si>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</si>
  <si>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</si>
  <si>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</si>
  <si>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</si>
  <si>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</si>
  <si>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</si>
  <si>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</si>
  <si>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</si>
  <si>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</si>
  <si>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</si>
  <si>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</si>
  <si>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</si>
  <si>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</si>
  <si>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</si>
  <si>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</si>
  <si>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</si>
  <si>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</si>
  <si>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</si>
  <si>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</si>
  <si>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</si>
  <si>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</si>
  <si>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</si>
  <si>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</si>
  <si>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</si>
  <si>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</si>
  <si>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</si>
  <si>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</si>
  <si>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</si>
  <si>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</si>
  <si>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="01/01/2024"</t>
  </si>
  <si>
    <t>="31/01/2024"</t>
  </si>
  <si>
    <t>="132|102"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</si>
  <si>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</si>
  <si>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</si>
  <si>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</si>
  <si>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</si>
  <si>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</si>
  <si>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</si>
  <si>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</si>
  <si>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</si>
  <si>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</si>
  <si>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</si>
  <si>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</si>
  <si>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</si>
  <si>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</si>
  <si>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</si>
  <si>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</si>
  <si>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</si>
  <si>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</si>
  <si>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</si>
  <si>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</si>
  <si>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</si>
  <si>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</si>
  <si>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</si>
  <si>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</si>
  <si>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</si>
  <si>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</si>
  <si>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</si>
  <si>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</si>
  <si>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</si>
  <si>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</si>
  <si>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</si>
  <si>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</si>
  <si>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</si>
  <si>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</si>
  <si>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</si>
  <si>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</si>
  <si>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</si>
  <si>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</si>
  <si>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</si>
  <si>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</si>
  <si>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=SUM(N24-U24)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</si>
  <si>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</si>
  <si>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</si>
  <si>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</si>
  <si>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</si>
  <si>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</si>
  <si>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=IFERROR(AD24/AA24,0)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</si>
  <si>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</si>
  <si>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</si>
  <si>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</si>
  <si>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</si>
  <si>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</si>
  <si>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</si>
  <si>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</si>
  <si>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</si>
  <si>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</si>
  <si>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</si>
  <si>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</si>
  <si>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</si>
  <si>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</si>
  <si>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</si>
  <si>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</si>
  <si>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</si>
  <si>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</si>
  <si>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</si>
  <si>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</si>
  <si>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</si>
  <si>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=IFERROR(AD25/AA25,0)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</si>
  <si>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</si>
  <si>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</si>
  <si>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</si>
  <si>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</si>
  <si>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</si>
  <si>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</si>
  <si>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</si>
  <si>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</si>
  <si>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</si>
  <si>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</si>
  <si>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</si>
  <si>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</si>
  <si>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</si>
  <si>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</si>
  <si>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</si>
  <si>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</si>
  <si>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</si>
  <si>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=IFERROR(AD26/AA26,0)</t>
  </si>
  <si>
    <t>=IFERROR(NF($E26,"LINETOTAL"),"-")</t>
  </si>
  <si>
    <t>=IFERROR(NF($E26,"U_PODATE"),"-")</t>
  </si>
  <si>
    <t>=IFERROR(NF($E26,"U_PONO"),"-")</t>
  </si>
  <si>
    <t>=SUBTOTAL(9,AC24:AC27)</t>
  </si>
  <si>
    <t>=SUBTOTAL(9,AD24:AD27)</t>
  </si>
  <si>
    <t>Auto+Hide+Values+Formulas=Sheet4,Sheet5+FormulasOnly</t>
  </si>
  <si>
    <t>Auto</t>
  </si>
  <si>
    <t>Auto+Hide+HideSheet+Formulas=Sheet6,Sheet2,Sheet3</t>
  </si>
  <si>
    <t>Auto+Hide+HideSheet+Formulas=Sheet6,Sheet2,Sheet3+FormulasOnly</t>
  </si>
  <si>
    <t>Auto+Hide+Values+Formulas=Sheet7,Sheet4,Sheet5</t>
  </si>
  <si>
    <t>="""UICACS"","""",""SQL="",""2=DOCNUM"",""33033949"",""14=CUSTREF"",""8451299067"",""14=U_CUSTREF"",""8451299067"",""15=DOCDATE"",""16/1/2024"",""15=TAXDATE"",""16/1/2024"",""14=CARDCODE"",""CA0213-SGD"",""14=CARDNAME"",""ALEXANDRA HEALTH PTE. LTD."",""14=ITEMCODE"",""MSD86-05988GLP"",""14=ITEMN"&amp;"AME"",""MS VISIO STD 2021 SNGL LTSC"",""10=QUANTITY"",""1.000000"",""14=U_PONO"",""948011"",""15=U_PODATE"",""15/1/2024"",""10=U_TLINTCOS"",""0.000000"",""2=SLPCODE"",""132"",""14=SLPNAME"",""E0001-CS"",""14=MEMO"",""WENDY KUM CHIOU SZE"",""14=CONTACTNAME"",""E-INVOICE (AP DIRECT)"",""10=LI"&amp;"NETOTAL"",""278.460000"",""14=U_ENR"","""",""14=U_MSENR"",""S7138270"",""14=U_MSPCN"",""9BA9F0ED"",""14=ADDRESS2"",""NITHIYA_x000D_ALEXANDRA HEALTH PTE. LTD. C/O KHOO TECK PUAT HOSPITAL 90 YISHUN CENTRAL SINGAPORE 768828_x000D_NITHIYA_x000D_TEL: _x000D_FAX: _x000D_EMAIL: manickaswami.nithiya@ktph.com.s"&amp;"g"""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</si>
  <si>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</si>
  <si>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</si>
  <si>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</si>
  <si>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</si>
  <si>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</si>
  <si>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=SUM(N25-U25)</t>
  </si>
  <si>
    <t>=IFERROR(NF($E25,"U_BPurDisc"),"-")</t>
  </si>
  <si>
    <t>=IFERROR(NF($E25,"U_SWSub"),"-")</t>
  </si>
  <si>
    <t>=IFERROR(NF($E25,"U_LicComDt"),"-")</t>
  </si>
  <si>
    <t>=IFERROR(NF($E25,"U_LicEndDt"),"-")</t>
  </si>
  <si>
    <t>=IFERROR(NF($E25,"Comments"),"-")</t>
  </si>
  <si>
    <t>="""UICACS"","""",""SQL="",""2=DOCNUM"",""33033950"",""14=CUSTREF"",""8451299067"",""14=U_CUSTREF"",""8451299067"",""15=DOCDATE"",""16/1/2024"",""15=TAXDATE"",""16/1/2024"",""14=CARDCODE"",""CA0213-SGD"",""14=CARDNAME"",""ALEXANDRA HEALTH PTE. LTD."",""14=ITEMCODE"",""MSD86-05988GLP"",""14=ITEMN"&amp;"AME"",""MS VISIO STD 2021 SNGL LTSC"",""10=QUANTITY"",""1.000000"",""14=U_PONO"",""948011"",""15=U_PODATE"",""15/1/2024"",""10=U_TLINTCOS"",""0.000000"",""2=SLPCODE"",""132"",""14=SLPNAME"",""E0001-CS"",""14=MEMO"",""WENDY KUM CHIOU SZE"",""14=CONTACTNAME"",""E-INVOICE (AP DIRECT)"",""10=LI"&amp;"NETOTAL"",""278.460000"",""14=U_ENR"","""",""14=U_MSENR"",""S7138270"",""14=U_MSPCN"",""9BA9F0ED"",""14=ADDRESS2"",""DAVID HA_x000D_ALEXANDRA HEALTH PTE. LTD. C/O KHOO TECK PUAT HOSPITAL 90 YISHUN CENTRAL SINGAPORE 768828_x000D_DAVID HA_x000D_TEL: _x000D_FAX: _x000D_EMAIL: ha.david.db@ktph.com.sg"""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</si>
  <si>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</si>
  <si>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</si>
  <si>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</si>
  <si>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</si>
  <si>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</si>
  <si>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=SUM(N26-U26)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</si>
  <si>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</si>
  <si>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</si>
  <si>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</si>
  <si>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</si>
  <si>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</si>
  <si>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</si>
  <si>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</si>
  <si>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="""UICACS"","""",""SQL="",""2=DOCNUM"",""33034036"",""14=CUSTREF"",""4560089490"",""14=U_CUSTREF"",""4560089490"",""15=DOCDATE"",""29/1/2024"",""15=TAXDATE"",""29/1/2024"",""14=CARDCODE"",""CI1252-SGD"",""14=CARDNAME"",""NATIONAL HEALTHCARE GROUP POLYCLINICS"",""14=ITEMCODE"",""MS9EM-00831-GL"&amp;"P"",""14=ITEMNAME"",""MS WIN SVR STD CORE 2022 SNGL 16 LIC CORE LIC"",""10=QUANTITY"",""1.000000"",""14=U_PONO"",""948247B"",""15=U_PODATE"",""29/1/2024"",""10=U_TLINTCOS"",""0.000000"",""2=SLPCODE"",""132"",""14=SLPNAME"",""E0001-CS"",""14=MEMO"",""WENDY KUM CHIOU SZE"",""14=CONTACTNAME"""&amp;",""E-INVOICE"",""10=LINETOTAL"",""986.820000"",""14=U_ENR"","""",""14=U_MSENR"",""S7138270"",""14=U_MSPCN"",""45018483"",""14=ADDRESS2"",""KWA HAN SIONG_x000D_NATIONAL HEALTHCARE GROUP POLYCLINICS 3 FUSIONOPOLIS LINK, #05-10, NEXUS@ONE-NORTH, SINGAPORE 138543_x000D_KWA HAN SIONG_x000D_TEL: 649"&amp;"66723_x000D_FAX: _x000D_EMAIL: kwa.han.siong@alpshealthcare.com.sg"""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</si>
  <si>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</si>
  <si>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</si>
  <si>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</si>
  <si>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</si>
  <si>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</si>
  <si>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</si>
  <si>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</si>
  <si>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</si>
  <si>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</si>
  <si>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</si>
  <si>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=IFERROR(NF($E27,"DocDate"),"-")</t>
  </si>
  <si>
    <t>=SUM(N27-U27)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</si>
  <si>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</si>
  <si>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</si>
  <si>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</si>
  <si>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</si>
  <si>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</si>
  <si>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=IFERROR(AD27/AA27,0)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</si>
  <si>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</si>
  <si>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</si>
  <si>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</si>
  <si>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</si>
  <si>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</si>
  <si>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</si>
  <si>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</si>
  <si>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=IF(K28="","Hide","Show")</t>
  </si>
  <si>
    <t>="""UICACS"","""",""SQL="",""2=DOCNUM"",""33034037"",""14=CUSTREF"",""4560089487"",""14=U_CUSTREF"",""4560089487"",""15=DOCDATE"",""29/1/2024"",""15=TAXDATE"",""29/1/2024"",""14=CARDCODE"",""CI1252-SGD"",""14=CARDNAME"",""NATIONAL HEALTHCARE GROUP POLYCLINICS"",""14=ITEMCODE"",""MS9EM-00831-GL"&amp;"P"",""14=ITEMNAME"",""MS WIN SVR STD CORE 2022 SNGL 16 LIC CORE LIC"",""10=QUANTITY"",""2.000000"",""14=U_PONO"",""948247"",""15=U_PODATE"",""29/1/2024"",""10=U_TLINTCOS"",""0.000000"",""2=SLPCODE"",""132"",""14=SLPNAME"",""E0001-CS"",""14=MEMO"",""WENDY KUM CHIOU SZE"",""14=CONTACTNAME"","&amp;"""E-INVOICE"",""10=LINETOTAL"",""1944.640000"",""14=U_ENR"","""",""14=U_MSENR"",""S7138270"",""14=U_MSPCN"",""45018483"",""14=ADDRESS2"",""MS ROSLINDA BTE ARSAT_x000D_NATIONAL HEALTHCARE GROUP (POLYCLINICS) 3 FUSIONOPOLIS LINK, #05-10, NEXUS@ONE-NORTH, SINGAPORE 138543_x000D_MS ROSLINDA "&amp;"BTE ARSAT/ALINAH_x000D_TEL: 6496 6726_x000D_FAX: _x000D_EMAIL:"""</t>
  </si>
  <si>
    <t>=MONTH(N28)</t>
  </si>
  <si>
    <t>=YEAR(N28)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</si>
  <si>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</si>
  <si>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</si>
  <si>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</si>
  <si>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</si>
  <si>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</si>
  <si>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</si>
  <si>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</si>
  <si>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=IFERROR(NF($E28,"U_PODate"),"-")</t>
  </si>
  <si>
    <t>=IFERROR(NF($E28,"DocDate"),"-")</t>
  </si>
  <si>
    <t>=SUM(N28-U28)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</si>
  <si>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</si>
  <si>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</si>
  <si>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</si>
  <si>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</si>
  <si>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</si>
  <si>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=IFERROR(AD28/AA28,0)</t>
  </si>
  <si>
    <t>=IFERROR(NF($E28,"LINETOTAL"),"-")</t>
  </si>
  <si>
    <t>=IFERROR(NF($E28,"U_BPurDisc"),"-")</t>
  </si>
  <si>
    <t>=IFERROR(NF($E28,"ADDRESS2"),"-")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</si>
  <si>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</si>
  <si>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</si>
  <si>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</si>
  <si>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</si>
  <si>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=IF(K29="","Hide","Show")</t>
  </si>
  <si>
    <t>="""UICACS"","""",""SQL="",""2=DOCNUM"",""33034043"",""14=CUSTREF"",""2024000083"",""14=U_CUSTREF"",""2024000083"",""15=DOCDATE"",""29/1/2024"",""15=TAXDATE"",""29/1/2024"",""14=CARDCODE"",""CR0098-SGD"",""14=CARDNAME"",""REN CI HOSPITAL"",""14=ITEMCODE"",""MSR18-06495-GLP"",""14=ITEMNAME"",""MS W"&amp;"IN SERVER CAL 2022 SNGL UCAL"",""10=QUANTITY"",""54.000000"",""14=U_PONO"",""948220"",""15=U_PODATE"",""25/1/2023"",""10=U_TLINTCOS"",""0.000000"",""2=SLPCODE"",""132"",""14=SLPNAME"",""E0001-CS"",""14=MEMO"",""WENDY KUM CHIOU SZE"",""14=CONTACTNAME"",""TAN EK CHER"",""10=LINETOTAL"",""2283"&amp;".120000"",""14=U_ENR"","""",""14=U_MSENR"",""S7138270"",""14=U_MSPCN"",""AED5984D"",""14=ADDRESS2"",""TAN EK CHER_x000D_REN CI HOSPITAL 71 IRRAWADDY ROAD, BO-MIS, LEVEL 2, SINGAPORE 329562_x000D_TAN EK CHER_x000D_TEL: 6355 6050_x000D_FAX: _x000D_EMAIL: ekcher_tan@renci.org.sg"""</t>
  </si>
  <si>
    <t>=MONTH(N29)</t>
  </si>
  <si>
    <t>=YEAR(N29)</t>
  </si>
  <si>
    <t>=IFERROR(NF($E29,"DOCNUM"),"-")</t>
  </si>
  <si>
    <t>=IFERROR(NF($E29,"DOCDATE"),"-")</t>
  </si>
  <si>
    <t>=IFERROR(NF($E29,"U_MSENR"),"-")</t>
  </si>
  <si>
    <t>=IFERROR(NF($E29,"U_MSPCN"),"-")</t>
  </si>
  <si>
    <t>=IFERROR(NF($E29,"CARDCODE"),"-")</t>
  </si>
  <si>
    <t>=IFERROR(NF($E29,"CARDNAME"),"-")</t>
  </si>
  <si>
    <t>=IFERROR(NF($E29,"U_CUSTREF"),"-")</t>
  </si>
  <si>
    <t>=IFERROR(NF($E29,"U_PODate"),"-")</t>
  </si>
  <si>
    <t>=IFERROR(NF($E29,"DocDate"),"-")</t>
  </si>
  <si>
    <t>=SUM(N29-U29)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</si>
  <si>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</si>
  <si>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</si>
  <si>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</si>
  <si>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</si>
  <si>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</si>
  <si>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=IFERROR(AD29/AA29,0)</t>
  </si>
  <si>
    <t>=IFERROR(NF($E29,"LINETOTAL"),"-")</t>
  </si>
  <si>
    <t>=IFERROR(NF($E29,"U_BPurDisc"),"-")</t>
  </si>
  <si>
    <t>=IFERROR(NF($E29,"ADDRESS2"),"-")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</si>
  <si>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</si>
  <si>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</si>
  <si>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</si>
  <si>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</si>
  <si>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=IF(K30="","Hide","Show")</t>
  </si>
  <si>
    <t>="""UICACS"","""",""SQL="",""2=DOCNUM"",""33034044"",""14=CUSTREF"",""8454007303"",""14=U_CUSTREF"",""8454007303"",""15=DOCDATE"",""29/1/2024"",""15=TAXDATE"",""29/1/2024"",""14=CARDCODE"",""CW0080-SGD"",""14=CARDNAME"",""WOODLANDSHEALTH PTE. LTD."",""14=ITEMCODE"",""MS7NQ-00300GLP"",""14=ITEMNA"&amp;"ME"",""MS SQLSVRSTDCORE SNGL LICSAPK MVL 2LIC CORELIC"",""10=QUANTITY"",""2.000000"",""14=U_PONO"",""948215"",""15=U_PODATE"",""25/1/2024"",""10=U_TLINTCOS"",""0.000000"",""2=SLPCODE"",""132"",""14=SLPNAME"",""E0001-CS"",""14=MEMO"",""WENDY KUM CHIOU SZE"",""14=CONTACTNAME"",""FINANCE DEP"&amp;"ARTMENT - ACCOUNTS PAYABLE"",""10=LINETOTAL"",""12275.220000"",""14=U_ENR"","""",""14=U_MSENR"",""S7138270"",""14=U_MSPCN"",""92B8E51B"",""14=ADDRESS2"",""NICHOLAS KWOK JUN HUI_x000D_WOODLANDSHEALTH PTE. LTD. 17 WOODLANDS DRIVE 17  SINGAPORE 737628_x000D_NICHOLAS KWOK JUN HUI_x000D_TEL: _x000D_FAX:"&amp;" _x000D_EMAIL: nicholas_kwok@wh.com.sg"""</t>
  </si>
  <si>
    <t>=MONTH(N30)</t>
  </si>
  <si>
    <t>=YEAR(N30)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</si>
  <si>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</si>
  <si>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</si>
  <si>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</si>
  <si>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</si>
  <si>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</si>
  <si>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</si>
  <si>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=IFERROR(NF($E30,"U_CUSTREF"),"-")</t>
  </si>
  <si>
    <t>=IFERROR(NF($E30,"U_PODate"),"-")</t>
  </si>
  <si>
    <t>=IFERROR(NF($E30,"DocDate"),"-")</t>
  </si>
  <si>
    <t>=SUM(N30-U30)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</si>
  <si>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</si>
  <si>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</si>
  <si>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</si>
  <si>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</si>
  <si>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</si>
  <si>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=IFERROR(AD30/AA30,0)</t>
  </si>
  <si>
    <t>=IFERROR(NF($E30,"LINETOTAL"),"-")</t>
  </si>
  <si>
    <t>=IFERROR(NF($E30,"U_BPurDisc"),"-")</t>
  </si>
  <si>
    <t>=IFERROR(NF($E30,"ADDRESS2"),"-")</t>
  </si>
  <si>
    <t>=IFERROR(NF($E30,"U_SWSub"),"-")</t>
  </si>
  <si>
    <t>=IFERROR(NF($E30,"U_LicComDt"),"-")</t>
  </si>
  <si>
    <t>=IFERROR(NF($E30,"U_LicEndDt"),"-")</t>
  </si>
  <si>
    <t>=IFERROR(NF($E30,"Comments"),"-")</t>
  </si>
  <si>
    <t>=IF(K31="","Hide","Show")</t>
  </si>
  <si>
    <t>=IFERROR(NF($E31,"DOCNUM"),"-")</t>
  </si>
  <si>
    <t>=IFERROR(NF($E31,"DOCDATE"),"-")</t>
  </si>
  <si>
    <t>=IFERROR(NF($E31,"U_MSENR"),"-")</t>
  </si>
  <si>
    <t>=IFERROR(NF($E31,"CARDCODE"),"-")</t>
  </si>
  <si>
    <t>=IFERROR(NF($E31,"CARDNAME"),"-")</t>
  </si>
  <si>
    <t>=IFERROR(NF($E31,"ITEMCODE"),"-")</t>
  </si>
  <si>
    <t>=IFERROR(NF($E31,"U_CUSTREF"),"-")</t>
  </si>
  <si>
    <t>=IFERROR(NF($E31,"ITEMNAME"),"-")</t>
  </si>
  <si>
    <t>=IFERROR(NF($E31,"MEMO"),"-")</t>
  </si>
  <si>
    <t>=IFERROR(NF($E31,"QUANTITY"),"-")</t>
  </si>
  <si>
    <t>=IFERROR(NF($E31,"CONTACTNAME"),"-")</t>
  </si>
  <si>
    <t>=IFERROR(AD31/AA31,0)</t>
  </si>
  <si>
    <t>=IFERROR(NF($E31,"LINETOTAL"),"-")</t>
  </si>
  <si>
    <t>=IFERROR(NF($E31,"ADDRESS2"),"-")</t>
  </si>
  <si>
    <t>=IFERROR(NF($E31,"U_PODATE"),"-")</t>
  </si>
  <si>
    <t>=IFERROR(NF($E31,"U_PONO"),"-")</t>
  </si>
  <si>
    <t>=IF(K32="","Hide","Show")</t>
  </si>
  <si>
    <t>=IFERROR(NF($E32,"DOCNUM"),"-")</t>
  </si>
  <si>
    <t>=IFERROR(NF($E32,"DOCDATE"),"-")</t>
  </si>
  <si>
    <t>=IFERROR(NF($E32,"U_MSENR"),"-")</t>
  </si>
  <si>
    <t>=IFERROR(NF($E32,"CARDCODE"),"-")</t>
  </si>
  <si>
    <t>=IFERROR(NF($E32,"CARDNAME"),"-")</t>
  </si>
  <si>
    <t>=IFERROR(NF($E32,"ITEMCODE"),"-")</t>
  </si>
  <si>
    <t>=IFERROR(NF($E32,"U_CUSTREF"),"-")</t>
  </si>
  <si>
    <t>=IFERROR(NF($E32,"ITEMNAME"),"-")</t>
  </si>
  <si>
    <t>=IFERROR(NF($E32,"MEMO"),"-")</t>
  </si>
  <si>
    <t>=IFERROR(NF($E32,"QUANTITY"),"-")</t>
  </si>
  <si>
    <t>=IFERROR(NF($E32,"CONTACTNAME"),"-")</t>
  </si>
  <si>
    <t>=IFERROR(AD32/AA32,0)</t>
  </si>
  <si>
    <t>=IFERROR(NF($E32,"LINETOTAL"),"-")</t>
  </si>
  <si>
    <t>=IFERROR(NF($E32,"U_PODATE"),"-")</t>
  </si>
  <si>
    <t>=IFERROR(NF($E32,"U_PONO"),"-")</t>
  </si>
  <si>
    <t>=SUBTOTAL(9,AC24:AC33)</t>
  </si>
  <si>
    <t>=SUBTOTAL(9,AD24:AD33)</t>
  </si>
  <si>
    <t>Auto+Hide+Values+Formulas=Sheet7,Sheet4,Sheet5+FormulasOnly</t>
  </si>
  <si>
    <t>31.10.2026</t>
  </si>
  <si>
    <t>01.02.2024</t>
  </si>
  <si>
    <t>LICENSE WITH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</si>
</sst>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  <charset val="177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  <charset val="177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66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top"/>
    </xf>
    <xf numFmtId="167" fontId="13" fillId="0" borderId="0" xfId="0" applyNumberFormat="1" applyFont="1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/>
    <xf numFmtId="0" fontId="0" fillId="5" borderId="0" xfId="0" applyFill="1" applyAlignment="1">
      <alignment vertical="top" wrapText="1"/>
    </xf>
    <xf numFmtId="0" fontId="8" fillId="0" borderId="0" xfId="1" applyFont="1" applyAlignment="1">
      <alignment horizontal="center" vertical="top"/>
    </xf>
    <xf numFmtId="0" fontId="0" fillId="0" borderId="0" xfId="0" quotePrefix="1"/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192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"01/01/2024"</f>
        <v>01/01/2024</v>
      </c>
    </row>
    <row r="4" spans="1:6">
      <c r="A4" s="1" t="s">
        <v>0</v>
      </c>
      <c r="B4" s="4" t="s">
        <v>6</v>
      </c>
      <c r="C4" s="5" t="str">
        <f>"31/01/2024"</f>
        <v>31/01/2024</v>
      </c>
    </row>
    <row r="5" spans="1:6">
      <c r="A5" s="1" t="s">
        <v>0</v>
      </c>
      <c r="B5" s="4" t="s">
        <v>26</v>
      </c>
      <c r="C5" s="4" t="str">
        <f>"132|102"</f>
        <v>132|102</v>
      </c>
      <c r="D5" s="4" t="str">
        <f>"Lookup"</f>
        <v>Lookup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01/Jan/2024..31/Jan/2024</v>
      </c>
    </row>
    <row r="9" spans="1:6">
      <c r="A9" s="1" t="s">
        <v>9</v>
      </c>
      <c r="C9" s="3" t="str">
        <f>TEXT($C$3,"yyyyMMdd") &amp; ".." &amp; TEXT($C$4,"yyyyMMdd")</f>
        <v>20240101..20240131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7C7D3-691D-443E-ABC4-C957904C6FD5}">
  <dimension ref="A1:AR34"/>
  <sheetViews>
    <sheetView workbookViewId="0"/>
  </sheetViews>
  <sheetFormatPr defaultRowHeight="15"/>
  <sheetData>
    <row r="1" spans="1:44">
      <c r="A1" s="65" t="s">
        <v>363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51</v>
      </c>
      <c r="K1" s="65" t="s">
        <v>18</v>
      </c>
      <c r="L1" s="65" t="s">
        <v>18</v>
      </c>
      <c r="O1" s="65" t="s">
        <v>18</v>
      </c>
      <c r="Q1" s="65" t="s">
        <v>18</v>
      </c>
      <c r="R1" s="65" t="s">
        <v>18</v>
      </c>
      <c r="S1" s="65" t="s">
        <v>18</v>
      </c>
      <c r="T1" s="65" t="s">
        <v>18</v>
      </c>
      <c r="U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B1" s="65" t="s">
        <v>18</v>
      </c>
      <c r="AI1" s="65" t="s">
        <v>18</v>
      </c>
      <c r="AJ1" s="65" t="s">
        <v>18</v>
      </c>
      <c r="AQ1" s="65" t="s">
        <v>7</v>
      </c>
      <c r="AR1" s="65" t="s">
        <v>7</v>
      </c>
    </row>
    <row r="2" spans="1:44">
      <c r="A2" s="65" t="s">
        <v>7</v>
      </c>
      <c r="D2" s="65" t="s">
        <v>19</v>
      </c>
      <c r="E2" s="65" t="s">
        <v>110</v>
      </c>
    </row>
    <row r="3" spans="1:44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4">
      <c r="A4" s="65" t="s">
        <v>7</v>
      </c>
      <c r="C4" s="65" t="s">
        <v>11</v>
      </c>
      <c r="D4" s="65" t="s">
        <v>111</v>
      </c>
      <c r="E4" s="65" t="s">
        <v>112</v>
      </c>
      <c r="F4" s="65" t="s">
        <v>96</v>
      </c>
      <c r="G4" s="65" t="s">
        <v>25</v>
      </c>
      <c r="H4" s="65" t="s">
        <v>113</v>
      </c>
    </row>
    <row r="5" spans="1:44">
      <c r="A5" s="65" t="s">
        <v>7</v>
      </c>
      <c r="C5" s="65" t="s">
        <v>10</v>
      </c>
      <c r="D5" s="65" t="s">
        <v>114</v>
      </c>
      <c r="E5" s="65" t="s">
        <v>115</v>
      </c>
      <c r="F5" s="65" t="s">
        <v>96</v>
      </c>
      <c r="G5" s="65" t="s">
        <v>25</v>
      </c>
      <c r="H5" s="65" t="s">
        <v>113</v>
      </c>
      <c r="I5" s="65" t="s">
        <v>116</v>
      </c>
    </row>
    <row r="6" spans="1:44">
      <c r="A6" s="65" t="s">
        <v>7</v>
      </c>
      <c r="C6" s="65" t="s">
        <v>41</v>
      </c>
      <c r="D6" s="65" t="s">
        <v>117</v>
      </c>
      <c r="E6" s="65" t="s">
        <v>118</v>
      </c>
      <c r="F6" s="65" t="s">
        <v>96</v>
      </c>
      <c r="G6" s="65" t="s">
        <v>25</v>
      </c>
      <c r="H6" s="65" t="s">
        <v>113</v>
      </c>
      <c r="I6" s="65" t="s">
        <v>119</v>
      </c>
    </row>
    <row r="7" spans="1:44">
      <c r="A7" s="65" t="s">
        <v>7</v>
      </c>
    </row>
    <row r="8" spans="1:44">
      <c r="A8" s="65" t="s">
        <v>7</v>
      </c>
    </row>
    <row r="9" spans="1:44">
      <c r="A9" s="65" t="s">
        <v>7</v>
      </c>
    </row>
    <row r="10" spans="1:44">
      <c r="A10" s="65" t="s">
        <v>7</v>
      </c>
    </row>
    <row r="11" spans="1:44">
      <c r="A11" s="65" t="s">
        <v>7</v>
      </c>
      <c r="C11" s="65" t="s">
        <v>27</v>
      </c>
      <c r="E11" s="65" t="s">
        <v>120</v>
      </c>
    </row>
    <row r="12" spans="1:44">
      <c r="A12" s="65" t="s">
        <v>7</v>
      </c>
      <c r="C12" s="65" t="s">
        <v>28</v>
      </c>
      <c r="E12" s="65" t="s">
        <v>121</v>
      </c>
    </row>
    <row r="13" spans="1:44">
      <c r="A13" s="65" t="s">
        <v>7</v>
      </c>
      <c r="C13" s="65" t="s">
        <v>42</v>
      </c>
      <c r="E13" s="65" t="s">
        <v>122</v>
      </c>
    </row>
    <row r="14" spans="1:44">
      <c r="A14" s="65" t="s">
        <v>7</v>
      </c>
      <c r="C14" s="65" t="s">
        <v>39</v>
      </c>
      <c r="E14" s="65" t="s">
        <v>123</v>
      </c>
    </row>
    <row r="15" spans="1:44">
      <c r="A15" s="65" t="s">
        <v>7</v>
      </c>
      <c r="C15" s="65" t="s">
        <v>43</v>
      </c>
      <c r="E15" s="65" t="s">
        <v>124</v>
      </c>
    </row>
    <row r="16" spans="1:44">
      <c r="A16" s="65" t="s">
        <v>7</v>
      </c>
      <c r="C16" s="65" t="s">
        <v>44</v>
      </c>
      <c r="E16" s="65" t="s">
        <v>125</v>
      </c>
    </row>
    <row r="17" spans="1:42">
      <c r="A17" s="65" t="s">
        <v>7</v>
      </c>
    </row>
    <row r="18" spans="1:42">
      <c r="A18" s="65" t="s">
        <v>7</v>
      </c>
    </row>
    <row r="21" spans="1:42">
      <c r="K21" s="65" t="s">
        <v>53</v>
      </c>
    </row>
    <row r="23" spans="1:42">
      <c r="E23" s="65" t="s">
        <v>29</v>
      </c>
      <c r="K23" s="65" t="s">
        <v>75</v>
      </c>
      <c r="L23" s="65" t="s">
        <v>76</v>
      </c>
      <c r="M23" s="65" t="s">
        <v>14</v>
      </c>
      <c r="N23" s="65" t="s">
        <v>16</v>
      </c>
      <c r="O23" s="65" t="s">
        <v>30</v>
      </c>
      <c r="P23" s="65" t="s">
        <v>33</v>
      </c>
      <c r="Q23" s="65" t="s">
        <v>77</v>
      </c>
      <c r="R23" s="65" t="s">
        <v>31</v>
      </c>
      <c r="S23" s="65" t="s">
        <v>38</v>
      </c>
      <c r="T23" s="65" t="s">
        <v>34</v>
      </c>
      <c r="U23" s="65" t="s">
        <v>17</v>
      </c>
      <c r="V23" s="65" t="s">
        <v>79</v>
      </c>
      <c r="W23" s="65" t="s">
        <v>80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37</v>
      </c>
      <c r="AC23" s="65" t="s">
        <v>56</v>
      </c>
      <c r="AD23" s="65" t="s">
        <v>57</v>
      </c>
      <c r="AE23" s="65" t="s">
        <v>81</v>
      </c>
      <c r="AF23" s="65" t="s">
        <v>82</v>
      </c>
      <c r="AG23" s="65" t="s">
        <v>83</v>
      </c>
      <c r="AH23" s="65" t="s">
        <v>84</v>
      </c>
      <c r="AI23" s="65" t="s">
        <v>85</v>
      </c>
      <c r="AJ23" s="65" t="s">
        <v>86</v>
      </c>
      <c r="AK23" s="65" t="s">
        <v>87</v>
      </c>
      <c r="AL23" s="65" t="s">
        <v>88</v>
      </c>
      <c r="AM23" s="65" t="s">
        <v>89</v>
      </c>
      <c r="AN23" s="65" t="s">
        <v>90</v>
      </c>
      <c r="AO23" s="65" t="s">
        <v>91</v>
      </c>
      <c r="AP23" s="65" t="s">
        <v>92</v>
      </c>
    </row>
    <row r="24" spans="1:42">
      <c r="B24" s="65" t="s">
        <v>126</v>
      </c>
      <c r="C24" s="65" t="s">
        <v>48</v>
      </c>
      <c r="E24" s="65" t="s">
        <v>127</v>
      </c>
      <c r="K24" s="65" t="s">
        <v>128</v>
      </c>
      <c r="L24" s="65" t="s">
        <v>129</v>
      </c>
      <c r="M24" s="65" t="s">
        <v>130</v>
      </c>
      <c r="N24" s="65" t="s">
        <v>131</v>
      </c>
      <c r="O24" s="65" t="s">
        <v>132</v>
      </c>
      <c r="P24" s="65" t="s">
        <v>133</v>
      </c>
      <c r="Q24" s="65" t="s">
        <v>78</v>
      </c>
      <c r="R24" s="65" t="s">
        <v>134</v>
      </c>
      <c r="S24" s="65" t="s">
        <v>135</v>
      </c>
      <c r="T24" s="65" t="s">
        <v>136</v>
      </c>
      <c r="U24" s="65" t="s">
        <v>137</v>
      </c>
      <c r="V24" s="65" t="s">
        <v>138</v>
      </c>
      <c r="W24" s="65" t="s">
        <v>139</v>
      </c>
      <c r="X24" s="65" t="s">
        <v>140</v>
      </c>
      <c r="Y24" s="65" t="s">
        <v>141</v>
      </c>
      <c r="Z24" s="65" t="s">
        <v>142</v>
      </c>
      <c r="AA24" s="65" t="s">
        <v>143</v>
      </c>
      <c r="AB24" s="65" t="s">
        <v>144</v>
      </c>
      <c r="AC24" s="65" t="s">
        <v>145</v>
      </c>
      <c r="AD24" s="65" t="s">
        <v>146</v>
      </c>
      <c r="AE24" s="65" t="s">
        <v>147</v>
      </c>
      <c r="AF24" s="65" t="s">
        <v>146</v>
      </c>
      <c r="AG24" s="65" t="s">
        <v>93</v>
      </c>
      <c r="AH24" s="65" t="s">
        <v>148</v>
      </c>
      <c r="AI24" s="65" t="s">
        <v>78</v>
      </c>
      <c r="AJ24" s="65" t="s">
        <v>94</v>
      </c>
      <c r="AK24" s="65" t="s">
        <v>140</v>
      </c>
      <c r="AL24" s="65" t="s">
        <v>141</v>
      </c>
      <c r="AM24" s="65" t="s">
        <v>149</v>
      </c>
      <c r="AN24" s="65" t="s">
        <v>150</v>
      </c>
      <c r="AO24" s="65" t="s">
        <v>151</v>
      </c>
      <c r="AP24" s="65" t="s">
        <v>152</v>
      </c>
    </row>
    <row r="25" spans="1:42">
      <c r="A25" s="65" t="s">
        <v>191</v>
      </c>
      <c r="B25" s="65" t="s">
        <v>153</v>
      </c>
      <c r="C25" s="65" t="s">
        <v>48</v>
      </c>
      <c r="E25" s="65" t="s">
        <v>195</v>
      </c>
      <c r="K25" s="65" t="s">
        <v>196</v>
      </c>
      <c r="L25" s="65" t="s">
        <v>197</v>
      </c>
      <c r="M25" s="65" t="s">
        <v>155</v>
      </c>
      <c r="N25" s="65" t="s">
        <v>156</v>
      </c>
      <c r="O25" s="65" t="s">
        <v>157</v>
      </c>
      <c r="P25" s="65" t="s">
        <v>198</v>
      </c>
      <c r="Q25" s="65" t="s">
        <v>78</v>
      </c>
      <c r="R25" s="65" t="s">
        <v>158</v>
      </c>
      <c r="S25" s="65" t="s">
        <v>159</v>
      </c>
      <c r="T25" s="65" t="s">
        <v>161</v>
      </c>
      <c r="U25" s="65" t="s">
        <v>199</v>
      </c>
      <c r="V25" s="65" t="s">
        <v>200</v>
      </c>
      <c r="W25" s="65" t="s">
        <v>201</v>
      </c>
      <c r="X25" s="65" t="s">
        <v>160</v>
      </c>
      <c r="Y25" s="65" t="s">
        <v>162</v>
      </c>
      <c r="Z25" s="65" t="s">
        <v>163</v>
      </c>
      <c r="AA25" s="65" t="s">
        <v>164</v>
      </c>
      <c r="AB25" s="65" t="s">
        <v>165</v>
      </c>
      <c r="AC25" s="65" t="s">
        <v>166</v>
      </c>
      <c r="AD25" s="65" t="s">
        <v>167</v>
      </c>
      <c r="AE25" s="65" t="s">
        <v>202</v>
      </c>
      <c r="AF25" s="65" t="s">
        <v>167</v>
      </c>
      <c r="AG25" s="65" t="s">
        <v>93</v>
      </c>
      <c r="AH25" s="65" t="s">
        <v>168</v>
      </c>
      <c r="AI25" s="65" t="s">
        <v>78</v>
      </c>
      <c r="AJ25" s="65" t="s">
        <v>94</v>
      </c>
      <c r="AK25" s="65" t="s">
        <v>160</v>
      </c>
      <c r="AL25" s="65" t="s">
        <v>162</v>
      </c>
      <c r="AM25" s="65" t="s">
        <v>203</v>
      </c>
      <c r="AN25" s="65" t="s">
        <v>204</v>
      </c>
      <c r="AO25" s="65" t="s">
        <v>205</v>
      </c>
      <c r="AP25" s="65" t="s">
        <v>206</v>
      </c>
    </row>
    <row r="26" spans="1:42">
      <c r="A26" s="65" t="s">
        <v>191</v>
      </c>
      <c r="B26" s="65" t="s">
        <v>171</v>
      </c>
      <c r="C26" s="65" t="s">
        <v>48</v>
      </c>
      <c r="E26" s="65" t="s">
        <v>207</v>
      </c>
      <c r="K26" s="65" t="s">
        <v>208</v>
      </c>
      <c r="L26" s="65" t="s">
        <v>209</v>
      </c>
      <c r="M26" s="65" t="s">
        <v>173</v>
      </c>
      <c r="N26" s="65" t="s">
        <v>174</v>
      </c>
      <c r="O26" s="65" t="s">
        <v>175</v>
      </c>
      <c r="P26" s="65" t="s">
        <v>210</v>
      </c>
      <c r="Q26" s="65" t="s">
        <v>78</v>
      </c>
      <c r="R26" s="65" t="s">
        <v>176</v>
      </c>
      <c r="S26" s="65" t="s">
        <v>177</v>
      </c>
      <c r="T26" s="65" t="s">
        <v>179</v>
      </c>
      <c r="U26" s="65" t="s">
        <v>211</v>
      </c>
      <c r="V26" s="65" t="s">
        <v>212</v>
      </c>
      <c r="W26" s="65" t="s">
        <v>213</v>
      </c>
      <c r="X26" s="65" t="s">
        <v>178</v>
      </c>
      <c r="Y26" s="65" t="s">
        <v>180</v>
      </c>
      <c r="Z26" s="65" t="s">
        <v>181</v>
      </c>
      <c r="AA26" s="65" t="s">
        <v>182</v>
      </c>
      <c r="AB26" s="65" t="s">
        <v>183</v>
      </c>
      <c r="AC26" s="65" t="s">
        <v>184</v>
      </c>
      <c r="AD26" s="65" t="s">
        <v>185</v>
      </c>
      <c r="AE26" s="65" t="s">
        <v>214</v>
      </c>
      <c r="AF26" s="65" t="s">
        <v>185</v>
      </c>
      <c r="AG26" s="65" t="s">
        <v>93</v>
      </c>
      <c r="AH26" s="65" t="s">
        <v>215</v>
      </c>
      <c r="AI26" s="65" t="s">
        <v>78</v>
      </c>
      <c r="AJ26" s="65" t="s">
        <v>94</v>
      </c>
      <c r="AK26" s="65" t="s">
        <v>178</v>
      </c>
      <c r="AL26" s="65" t="s">
        <v>180</v>
      </c>
      <c r="AM26" s="65" t="s">
        <v>216</v>
      </c>
      <c r="AN26" s="65" t="s">
        <v>217</v>
      </c>
      <c r="AO26" s="65" t="s">
        <v>218</v>
      </c>
      <c r="AP26" s="65" t="s">
        <v>219</v>
      </c>
    </row>
    <row r="27" spans="1:42">
      <c r="A27" s="65" t="s">
        <v>191</v>
      </c>
      <c r="B27" s="65" t="s">
        <v>220</v>
      </c>
      <c r="C27" s="65" t="s">
        <v>48</v>
      </c>
      <c r="E27" s="65" t="s">
        <v>221</v>
      </c>
      <c r="K27" s="65" t="s">
        <v>222</v>
      </c>
      <c r="L27" s="65" t="s">
        <v>223</v>
      </c>
      <c r="M27" s="65" t="s">
        <v>224</v>
      </c>
      <c r="N27" s="65" t="s">
        <v>225</v>
      </c>
      <c r="O27" s="65" t="s">
        <v>226</v>
      </c>
      <c r="P27" s="65" t="s">
        <v>227</v>
      </c>
      <c r="Q27" s="65" t="s">
        <v>78</v>
      </c>
      <c r="R27" s="65" t="s">
        <v>228</v>
      </c>
      <c r="S27" s="65" t="s">
        <v>229</v>
      </c>
      <c r="T27" s="65" t="s">
        <v>230</v>
      </c>
      <c r="U27" s="65" t="s">
        <v>231</v>
      </c>
      <c r="V27" s="65" t="s">
        <v>232</v>
      </c>
      <c r="W27" s="65" t="s">
        <v>233</v>
      </c>
      <c r="X27" s="65" t="s">
        <v>234</v>
      </c>
      <c r="Y27" s="65" t="s">
        <v>235</v>
      </c>
      <c r="Z27" s="65" t="s">
        <v>236</v>
      </c>
      <c r="AA27" s="65" t="s">
        <v>237</v>
      </c>
      <c r="AB27" s="65" t="s">
        <v>238</v>
      </c>
      <c r="AC27" s="65" t="s">
        <v>239</v>
      </c>
      <c r="AD27" s="65" t="s">
        <v>240</v>
      </c>
      <c r="AE27" s="65" t="s">
        <v>241</v>
      </c>
      <c r="AF27" s="65" t="s">
        <v>240</v>
      </c>
      <c r="AG27" s="65" t="s">
        <v>93</v>
      </c>
      <c r="AH27" s="65" t="s">
        <v>242</v>
      </c>
      <c r="AI27" s="65" t="s">
        <v>78</v>
      </c>
      <c r="AJ27" s="65" t="s">
        <v>94</v>
      </c>
      <c r="AK27" s="65" t="s">
        <v>234</v>
      </c>
      <c r="AL27" s="65" t="s">
        <v>235</v>
      </c>
      <c r="AM27" s="65" t="s">
        <v>243</v>
      </c>
      <c r="AN27" s="65" t="s">
        <v>244</v>
      </c>
      <c r="AO27" s="65" t="s">
        <v>245</v>
      </c>
      <c r="AP27" s="65" t="s">
        <v>246</v>
      </c>
    </row>
    <row r="28" spans="1:42">
      <c r="A28" s="65" t="s">
        <v>191</v>
      </c>
      <c r="B28" s="65" t="s">
        <v>247</v>
      </c>
      <c r="C28" s="65" t="s">
        <v>48</v>
      </c>
      <c r="E28" s="65" t="s">
        <v>248</v>
      </c>
      <c r="K28" s="65" t="s">
        <v>249</v>
      </c>
      <c r="L28" s="65" t="s">
        <v>250</v>
      </c>
      <c r="M28" s="65" t="s">
        <v>251</v>
      </c>
      <c r="N28" s="65" t="s">
        <v>252</v>
      </c>
      <c r="O28" s="65" t="s">
        <v>253</v>
      </c>
      <c r="P28" s="65" t="s">
        <v>254</v>
      </c>
      <c r="Q28" s="65" t="s">
        <v>78</v>
      </c>
      <c r="R28" s="65" t="s">
        <v>255</v>
      </c>
      <c r="S28" s="65" t="s">
        <v>256</v>
      </c>
      <c r="T28" s="65" t="s">
        <v>257</v>
      </c>
      <c r="U28" s="65" t="s">
        <v>258</v>
      </c>
      <c r="V28" s="65" t="s">
        <v>259</v>
      </c>
      <c r="W28" s="65" t="s">
        <v>260</v>
      </c>
      <c r="X28" s="65" t="s">
        <v>261</v>
      </c>
      <c r="Y28" s="65" t="s">
        <v>262</v>
      </c>
      <c r="Z28" s="65" t="s">
        <v>263</v>
      </c>
      <c r="AA28" s="65" t="s">
        <v>264</v>
      </c>
      <c r="AB28" s="65" t="s">
        <v>265</v>
      </c>
      <c r="AC28" s="65" t="s">
        <v>266</v>
      </c>
      <c r="AD28" s="65" t="s">
        <v>267</v>
      </c>
      <c r="AE28" s="65" t="s">
        <v>268</v>
      </c>
      <c r="AF28" s="65" t="s">
        <v>267</v>
      </c>
      <c r="AG28" s="65" t="s">
        <v>93</v>
      </c>
      <c r="AH28" s="65" t="s">
        <v>269</v>
      </c>
      <c r="AI28" s="65" t="s">
        <v>78</v>
      </c>
      <c r="AJ28" s="65" t="s">
        <v>94</v>
      </c>
      <c r="AK28" s="65" t="s">
        <v>261</v>
      </c>
      <c r="AL28" s="65" t="s">
        <v>262</v>
      </c>
      <c r="AM28" s="65" t="s">
        <v>270</v>
      </c>
      <c r="AN28" s="65" t="s">
        <v>271</v>
      </c>
      <c r="AO28" s="65" t="s">
        <v>272</v>
      </c>
      <c r="AP28" s="65" t="s">
        <v>273</v>
      </c>
    </row>
    <row r="29" spans="1:42">
      <c r="A29" s="65" t="s">
        <v>191</v>
      </c>
      <c r="B29" s="65" t="s">
        <v>274</v>
      </c>
      <c r="C29" s="65" t="s">
        <v>48</v>
      </c>
      <c r="E29" s="65" t="s">
        <v>275</v>
      </c>
      <c r="K29" s="65" t="s">
        <v>276</v>
      </c>
      <c r="L29" s="65" t="s">
        <v>277</v>
      </c>
      <c r="M29" s="65" t="s">
        <v>278</v>
      </c>
      <c r="N29" s="65" t="s">
        <v>279</v>
      </c>
      <c r="O29" s="65" t="s">
        <v>280</v>
      </c>
      <c r="P29" s="65" t="s">
        <v>281</v>
      </c>
      <c r="Q29" s="65" t="s">
        <v>78</v>
      </c>
      <c r="R29" s="65" t="s">
        <v>282</v>
      </c>
      <c r="S29" s="65" t="s">
        <v>283</v>
      </c>
      <c r="T29" s="65" t="s">
        <v>284</v>
      </c>
      <c r="U29" s="65" t="s">
        <v>285</v>
      </c>
      <c r="V29" s="65" t="s">
        <v>286</v>
      </c>
      <c r="W29" s="65" t="s">
        <v>287</v>
      </c>
      <c r="X29" s="65" t="s">
        <v>288</v>
      </c>
      <c r="Y29" s="65" t="s">
        <v>289</v>
      </c>
      <c r="Z29" s="65" t="s">
        <v>290</v>
      </c>
      <c r="AA29" s="65" t="s">
        <v>291</v>
      </c>
      <c r="AB29" s="65" t="s">
        <v>292</v>
      </c>
      <c r="AC29" s="65" t="s">
        <v>293</v>
      </c>
      <c r="AD29" s="65" t="s">
        <v>294</v>
      </c>
      <c r="AE29" s="65" t="s">
        <v>295</v>
      </c>
      <c r="AF29" s="65" t="s">
        <v>294</v>
      </c>
      <c r="AG29" s="65" t="s">
        <v>93</v>
      </c>
      <c r="AH29" s="65" t="s">
        <v>296</v>
      </c>
      <c r="AI29" s="65" t="s">
        <v>78</v>
      </c>
      <c r="AJ29" s="65" t="s">
        <v>94</v>
      </c>
      <c r="AK29" s="65" t="s">
        <v>288</v>
      </c>
      <c r="AL29" s="65" t="s">
        <v>289</v>
      </c>
      <c r="AM29" s="65" t="s">
        <v>297</v>
      </c>
      <c r="AN29" s="65" t="s">
        <v>298</v>
      </c>
      <c r="AO29" s="65" t="s">
        <v>299</v>
      </c>
      <c r="AP29" s="65" t="s">
        <v>300</v>
      </c>
    </row>
    <row r="30" spans="1:42">
      <c r="A30" s="65" t="s">
        <v>191</v>
      </c>
      <c r="B30" s="65" t="s">
        <v>301</v>
      </c>
      <c r="C30" s="65" t="s">
        <v>48</v>
      </c>
      <c r="E30" s="65" t="s">
        <v>302</v>
      </c>
      <c r="K30" s="65" t="s">
        <v>303</v>
      </c>
      <c r="L30" s="65" t="s">
        <v>304</v>
      </c>
      <c r="M30" s="65" t="s">
        <v>305</v>
      </c>
      <c r="N30" s="65" t="s">
        <v>306</v>
      </c>
      <c r="O30" s="65" t="s">
        <v>307</v>
      </c>
      <c r="P30" s="65" t="s">
        <v>308</v>
      </c>
      <c r="Q30" s="65" t="s">
        <v>78</v>
      </c>
      <c r="R30" s="65" t="s">
        <v>309</v>
      </c>
      <c r="S30" s="65" t="s">
        <v>310</v>
      </c>
      <c r="T30" s="65" t="s">
        <v>311</v>
      </c>
      <c r="U30" s="65" t="s">
        <v>312</v>
      </c>
      <c r="V30" s="65" t="s">
        <v>313</v>
      </c>
      <c r="W30" s="65" t="s">
        <v>314</v>
      </c>
      <c r="X30" s="65" t="s">
        <v>315</v>
      </c>
      <c r="Y30" s="65" t="s">
        <v>316</v>
      </c>
      <c r="Z30" s="65" t="s">
        <v>317</v>
      </c>
      <c r="AA30" s="65" t="s">
        <v>318</v>
      </c>
      <c r="AB30" s="65" t="s">
        <v>319</v>
      </c>
      <c r="AC30" s="65" t="s">
        <v>320</v>
      </c>
      <c r="AD30" s="65" t="s">
        <v>321</v>
      </c>
      <c r="AE30" s="65" t="s">
        <v>322</v>
      </c>
      <c r="AF30" s="65" t="s">
        <v>321</v>
      </c>
      <c r="AG30" s="65" t="s">
        <v>93</v>
      </c>
      <c r="AH30" s="65" t="s">
        <v>323</v>
      </c>
      <c r="AI30" s="65" t="s">
        <v>78</v>
      </c>
      <c r="AJ30" s="65" t="s">
        <v>94</v>
      </c>
      <c r="AK30" s="65" t="s">
        <v>315</v>
      </c>
      <c r="AL30" s="65" t="s">
        <v>316</v>
      </c>
      <c r="AM30" s="65" t="s">
        <v>324</v>
      </c>
      <c r="AN30" s="65" t="s">
        <v>325</v>
      </c>
      <c r="AO30" s="65" t="s">
        <v>326</v>
      </c>
      <c r="AP30" s="65" t="s">
        <v>327</v>
      </c>
    </row>
    <row r="31" spans="1:42">
      <c r="B31" s="65" t="s">
        <v>328</v>
      </c>
      <c r="C31" s="65" t="s">
        <v>49</v>
      </c>
      <c r="E31" s="65" t="s">
        <v>154</v>
      </c>
      <c r="K31" s="65" t="s">
        <v>329</v>
      </c>
      <c r="L31" s="65" t="s">
        <v>330</v>
      </c>
      <c r="O31" s="65" t="s">
        <v>331</v>
      </c>
      <c r="Q31" s="65" t="s">
        <v>332</v>
      </c>
      <c r="R31" s="65" t="s">
        <v>333</v>
      </c>
      <c r="S31" s="65" t="s">
        <v>334</v>
      </c>
      <c r="T31" s="65" t="s">
        <v>335</v>
      </c>
      <c r="U31" s="65" t="s">
        <v>78</v>
      </c>
      <c r="X31" s="65" t="s">
        <v>334</v>
      </c>
      <c r="Y31" s="65" t="s">
        <v>336</v>
      </c>
      <c r="Z31" s="65" t="s">
        <v>337</v>
      </c>
      <c r="AA31" s="65" t="s">
        <v>338</v>
      </c>
      <c r="AB31" s="65" t="s">
        <v>339</v>
      </c>
      <c r="AC31" s="65" t="s">
        <v>340</v>
      </c>
      <c r="AD31" s="65" t="s">
        <v>341</v>
      </c>
      <c r="AH31" s="65" t="s">
        <v>342</v>
      </c>
      <c r="AI31" s="65" t="s">
        <v>343</v>
      </c>
      <c r="AJ31" s="65" t="s">
        <v>344</v>
      </c>
    </row>
    <row r="32" spans="1:42">
      <c r="B32" s="65" t="s">
        <v>345</v>
      </c>
      <c r="C32" s="65" t="s">
        <v>50</v>
      </c>
      <c r="E32" s="65" t="s">
        <v>172</v>
      </c>
      <c r="K32" s="65" t="s">
        <v>346</v>
      </c>
      <c r="L32" s="65" t="s">
        <v>347</v>
      </c>
      <c r="O32" s="65" t="s">
        <v>348</v>
      </c>
      <c r="Q32" s="65" t="s">
        <v>349</v>
      </c>
      <c r="R32" s="65" t="s">
        <v>350</v>
      </c>
      <c r="S32" s="65" t="s">
        <v>351</v>
      </c>
      <c r="T32" s="65" t="s">
        <v>352</v>
      </c>
      <c r="U32" s="65" t="s">
        <v>78</v>
      </c>
      <c r="X32" s="65" t="s">
        <v>351</v>
      </c>
      <c r="Y32" s="65" t="s">
        <v>353</v>
      </c>
      <c r="Z32" s="65" t="s">
        <v>354</v>
      </c>
      <c r="AA32" s="65" t="s">
        <v>355</v>
      </c>
      <c r="AB32" s="65" t="s">
        <v>356</v>
      </c>
      <c r="AC32" s="65" t="s">
        <v>357</v>
      </c>
      <c r="AD32" s="65" t="s">
        <v>358</v>
      </c>
      <c r="AI32" s="65" t="s">
        <v>359</v>
      </c>
      <c r="AJ32" s="65" t="s">
        <v>360</v>
      </c>
    </row>
    <row r="34" spans="29:30">
      <c r="AC34" s="65" t="s">
        <v>361</v>
      </c>
      <c r="AD34" s="65" t="s">
        <v>362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39"/>
  <sheetViews>
    <sheetView tabSelected="1" topLeftCell="Z19" zoomScale="85" zoomScaleNormal="85" workbookViewId="0">
      <selection activeCell="AK36" sqref="AK36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21" bestFit="1" customWidth="1"/>
    <col min="12" max="12" width="6.28515625" style="21" bestFit="1" customWidth="1"/>
    <col min="13" max="13" width="10.7109375" style="4" customWidth="1"/>
    <col min="14" max="14" width="10.7109375" style="21" customWidth="1"/>
    <col min="15" max="15" width="9.42578125" style="17" customWidth="1"/>
    <col min="16" max="16" width="10.7109375" style="17" customWidth="1"/>
    <col min="17" max="17" width="4.85546875" style="4" customWidth="1"/>
    <col min="18" max="18" width="12.42578125" style="4" bestFit="1" customWidth="1"/>
    <col min="19" max="19" width="22.42578125" style="4" customWidth="1"/>
    <col min="20" max="20" width="13" style="3" customWidth="1"/>
    <col min="21" max="21" width="10.7109375" style="4" bestFit="1" customWidth="1"/>
    <col min="22" max="22" width="20.7109375" style="4" customWidth="1"/>
    <col min="23" max="23" width="11.28515625" style="4" customWidth="1"/>
    <col min="24" max="24" width="17.7109375" style="4" hidden="1" customWidth="1"/>
    <col min="25" max="25" width="36.28515625" style="4" hidden="1" customWidth="1"/>
    <col min="26" max="26" width="6.28515625" style="4" customWidth="1"/>
    <col min="27" max="27" width="10.5703125" style="19" bestFit="1" customWidth="1"/>
    <col min="28" max="28" width="24.85546875" style="4" customWidth="1"/>
    <col min="29" max="29" width="6.7109375" style="4" customWidth="1"/>
    <col min="30" max="30" width="23" style="4" customWidth="1"/>
    <col min="31" max="31" width="5" style="4" customWidth="1"/>
    <col min="32" max="32" width="10.5703125" style="4" bestFit="1" customWidth="1"/>
    <col min="33" max="33" width="11.28515625" style="38" customWidth="1"/>
    <col min="34" max="34" width="44.42578125" style="38" customWidth="1"/>
    <col min="35" max="35" width="17.85546875" style="4" customWidth="1"/>
    <col min="36" max="36" width="18.42578125" style="21" customWidth="1"/>
    <col min="37" max="37" width="19" style="21" customWidth="1"/>
    <col min="38" max="38" width="20" style="21" customWidth="1"/>
    <col min="39" max="40" width="9.28515625" style="4" hidden="1" customWidth="1"/>
    <col min="41" max="16384" width="9.28515625" style="4"/>
  </cols>
  <sheetData>
    <row r="1" spans="1:40" s="1" customFormat="1" hidden="1">
      <c r="A1" s="1" t="s">
        <v>194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1" t="s">
        <v>18</v>
      </c>
      <c r="X1" s="1" t="s">
        <v>7</v>
      </c>
      <c r="Y1" s="1" t="s">
        <v>7</v>
      </c>
      <c r="Z1" s="1" t="s">
        <v>18</v>
      </c>
      <c r="AA1" s="1" t="s">
        <v>18</v>
      </c>
      <c r="AB1" s="1" t="s">
        <v>18</v>
      </c>
      <c r="AE1" s="1" t="s">
        <v>18</v>
      </c>
      <c r="AF1" s="1" t="s">
        <v>18</v>
      </c>
      <c r="AG1" s="37"/>
      <c r="AH1" s="37"/>
      <c r="AJ1" s="22"/>
      <c r="AK1" s="22"/>
      <c r="AL1" s="22"/>
      <c r="AM1" s="1" t="s">
        <v>7</v>
      </c>
      <c r="AN1" s="1" t="s">
        <v>7</v>
      </c>
    </row>
    <row r="2" spans="1:40" hidden="1">
      <c r="A2" s="1" t="s">
        <v>7</v>
      </c>
      <c r="D2" s="4" t="s">
        <v>19</v>
      </c>
      <c r="E2" s="4" t="str">
        <f>Option!$C$2</f>
        <v>UICACS</v>
      </c>
    </row>
    <row r="3" spans="1:40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0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63" t="s">
        <v>96</v>
      </c>
      <c r="G4" s="4" t="s">
        <v>25</v>
      </c>
      <c r="H4" s="4" t="str">
        <f>" ORDER BY DOCNUM, DOCDATE"</f>
        <v xml:space="preserve"> ORDER BY DOCNUM, DOCDATE</v>
      </c>
    </row>
    <row r="5" spans="1:40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63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0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63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0" hidden="1">
      <c r="A7" s="1" t="s">
        <v>7</v>
      </c>
    </row>
    <row r="8" spans="1:40" hidden="1">
      <c r="A8" s="1" t="s">
        <v>7</v>
      </c>
      <c r="K8" s="44"/>
    </row>
    <row r="9" spans="1:40" hidden="1">
      <c r="A9" s="1" t="s">
        <v>7</v>
      </c>
      <c r="K9" s="44"/>
    </row>
    <row r="10" spans="1:40" hidden="1">
      <c r="A10" s="1" t="s">
        <v>7</v>
      </c>
    </row>
    <row r="11" spans="1:40" hidden="1">
      <c r="A11" s="1" t="s">
        <v>7</v>
      </c>
      <c r="C11" s="4" t="s">
        <v>27</v>
      </c>
      <c r="E11" s="4" t="str">
        <f>Option!$C$9</f>
        <v>20240101..20240131</v>
      </c>
      <c r="K11" s="44"/>
    </row>
    <row r="12" spans="1:40" hidden="1">
      <c r="A12" s="1" t="s">
        <v>7</v>
      </c>
      <c r="C12" s="4" t="s">
        <v>28</v>
      </c>
      <c r="E12" s="4" t="str">
        <f>Option!$C$5</f>
        <v>132|102</v>
      </c>
      <c r="K12" s="44"/>
    </row>
    <row r="13" spans="1:40" hidden="1">
      <c r="A13" s="1" t="s">
        <v>7</v>
      </c>
      <c r="C13" s="4" t="s">
        <v>42</v>
      </c>
      <c r="E13" s="4" t="str">
        <f>Option!$C$10</f>
        <v>'S7138270','7138270' ,'s7138270'</v>
      </c>
      <c r="K13" s="44"/>
    </row>
    <row r="14" spans="1:40" hidden="1">
      <c r="A14" s="1" t="s">
        <v>7</v>
      </c>
      <c r="C14" s="4" t="s">
        <v>39</v>
      </c>
      <c r="E14" s="4" t="str">
        <f>Option!$C$11</f>
        <v>'S7138270','7138270' ,'s7138270'</v>
      </c>
      <c r="K14" s="44"/>
    </row>
    <row r="15" spans="1:40" hidden="1">
      <c r="A15" s="1" t="s">
        <v>7</v>
      </c>
      <c r="C15" s="4" t="s">
        <v>43</v>
      </c>
      <c r="E15" s="4" t="str">
        <f>Option!$C$12</f>
        <v>'MS'</v>
      </c>
      <c r="AE15" s="15"/>
    </row>
    <row r="16" spans="1:40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38" hidden="1">
      <c r="A17" s="1" t="s">
        <v>7</v>
      </c>
    </row>
    <row r="18" spans="1:38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AA18" s="29"/>
      <c r="AG18" s="39"/>
      <c r="AH18" s="39"/>
      <c r="AJ18" s="26"/>
      <c r="AK18" s="26"/>
      <c r="AL18" s="26"/>
    </row>
    <row r="20" spans="1:38" ht="15.75">
      <c r="K20" s="20"/>
      <c r="L20" s="20"/>
      <c r="M20" s="45"/>
      <c r="N20" s="20"/>
      <c r="O20" s="20"/>
      <c r="P20" s="20"/>
      <c r="Q20" s="20"/>
      <c r="R20" s="20"/>
      <c r="S20" s="20"/>
      <c r="T20" s="23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spans="1:38" s="42" customFormat="1" ht="18.75">
      <c r="A21" s="41"/>
      <c r="B21" s="41"/>
      <c r="I21" s="43"/>
      <c r="K21" s="64" t="s">
        <v>53</v>
      </c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</row>
    <row r="22" spans="1:38" ht="15.75">
      <c r="K22" s="20"/>
      <c r="L22" s="20"/>
      <c r="M22" s="45"/>
      <c r="N22" s="20"/>
      <c r="O22" s="20"/>
      <c r="P22" s="20"/>
      <c r="Q22" s="20"/>
      <c r="R22" s="20"/>
      <c r="S22" s="20"/>
      <c r="T22" s="23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spans="1:38" s="54" customFormat="1" ht="47.25">
      <c r="A23" s="53"/>
      <c r="B23" s="53"/>
      <c r="E23" s="55" t="s">
        <v>29</v>
      </c>
      <c r="I23" s="56"/>
      <c r="K23" s="49" t="s">
        <v>75</v>
      </c>
      <c r="L23" s="49" t="s">
        <v>76</v>
      </c>
      <c r="M23" s="49" t="s">
        <v>14</v>
      </c>
      <c r="N23" s="49" t="s">
        <v>16</v>
      </c>
      <c r="O23" s="57" t="s">
        <v>30</v>
      </c>
      <c r="P23" s="48" t="s">
        <v>33</v>
      </c>
      <c r="Q23" s="48" t="s">
        <v>77</v>
      </c>
      <c r="R23" s="49" t="s">
        <v>31</v>
      </c>
      <c r="S23" s="48" t="s">
        <v>38</v>
      </c>
      <c r="T23" s="48" t="s">
        <v>34</v>
      </c>
      <c r="U23" s="49" t="s">
        <v>17</v>
      </c>
      <c r="V23" s="51" t="s">
        <v>79</v>
      </c>
      <c r="W23" s="51" t="s">
        <v>80</v>
      </c>
      <c r="X23" s="58" t="s">
        <v>36</v>
      </c>
      <c r="Y23" s="58" t="s">
        <v>12</v>
      </c>
      <c r="Z23" s="48" t="s">
        <v>32</v>
      </c>
      <c r="AA23" s="48" t="s">
        <v>13</v>
      </c>
      <c r="AB23" s="48" t="s">
        <v>37</v>
      </c>
      <c r="AC23" s="49" t="s">
        <v>83</v>
      </c>
      <c r="AD23" s="48" t="s">
        <v>84</v>
      </c>
      <c r="AE23" s="48" t="s">
        <v>85</v>
      </c>
      <c r="AF23" s="51" t="s">
        <v>86</v>
      </c>
      <c r="AG23" s="52" t="s">
        <v>87</v>
      </c>
      <c r="AH23" s="52" t="s">
        <v>88</v>
      </c>
      <c r="AI23" s="52" t="s">
        <v>89</v>
      </c>
      <c r="AJ23" s="52" t="s">
        <v>90</v>
      </c>
      <c r="AK23" s="52" t="s">
        <v>91</v>
      </c>
      <c r="AL23" s="52" t="s">
        <v>92</v>
      </c>
    </row>
    <row r="24" spans="1:38">
      <c r="B24" s="1" t="str">
        <f>IF(K24="","Hide","Show")</f>
        <v>Show</v>
      </c>
      <c r="C24" s="4" t="s">
        <v>48</v>
      </c>
      <c r="E24" s="12" t="str">
        <f>"""UICACS"","""",""SQL="",""2=DOCNUM"",""33033892"",""14=CUSTREF"",""MMD-PO24-00028"",""14=U_CUSTREF"",""MMD-PO24-00028"",""15=DOCDATE"",""10/1/2024"",""15=TAXDATE"",""10/1/2024"",""14=CARDCODE"",""CN0170-SGD"",""14=CARDNAME"",""NATIONAL SKIN CENTRE (SINGAPORE) PTE LTD"",""14=ITEMCODE"",""MS9"&amp;"EM-00831-GLP"",""14=ITEMNAME"",""MS WIN SVR STD CORE 2022 SNGL 16 LIC CORE LIC"",""10=QUANTITY"",""1.000000"",""14=U_PONO"",""947910"",""15=U_PODATE"",""9/1/2024"",""10=U_TLINTCOS"",""0.000000"",""2=SLPCODE"",""132"",""14=SLPNAME"",""E0001-CS"",""14=MEMO"",""WENDY KUM CHIOU SZE"",""14=CON"&amp;"TACTNAME"",""FINANCE DEPARTMENT"",""10=LINETOTAL"",""972.320000"",""14=U_ENR"","""",""14=U_MSENR"",""S7138270"",""14=U_MSPCN"",""45018483"",""14=ADDRESS2"",""SENTHIL_x000D_NATIONAL SKIN CENTRE 1 MANDALAY ROAD, SINGAPORE 308205 SINGAPORE 308205_x000D_SENTHIL/SERENE NG_x000D_TEL: _x000D_FAX: sereneng@n"&amp;"sc.com.sg_x000D_EMAIL: ganapathy.senthil.kumar@synapxe.sg"""</f>
        <v>"UICACS","","SQL=","2=DOCNUM","33033892","14=CUSTREF","MMD-PO24-00028","14=U_CUSTREF","MMD-PO24-00028","15=DOCDATE","10/1/2024","15=TAXDATE","10/1/2024","14=CARDCODE","CN0170-SGD","14=CARDNAME","NATIONAL SKIN CENTRE (SINGAPORE) PTE LTD","14=ITEMCODE","MS9EM-00831-GLP","14=ITEMNAME","MS WIN SVR STD CORE 2022 SNGL 16 LIC CORE LIC","10=QUANTITY","1.000000","14=U_PONO","947910","15=U_PODATE","9/1/2024","10=U_TLINTCOS","0.000000","2=SLPCODE","132","14=SLPNAME","E0001-CS","14=MEMO","WENDY KUM CHIOU SZE","14=CONTACTNAME","FINANCE DEPARTMENT","10=LINETOTAL","972.320000","14=U_ENR","","14=U_MSENR","S7138270","14=U_MSPCN","45018483","14=ADDRESS2","SENTHIL_x000D_NATIONAL SKIN CENTRE 1 MANDALAY ROAD, SINGAPORE 308205 SINGAPORE 308205_x000D_SENTHIL/SERENE NG_x000D_TEL: _x000D_FAX: sereneng@nsc.com.sg_x000D_EMAIL: ganapathy.senthil.kumar@synapxe.sg"</v>
      </c>
      <c r="K24" s="21">
        <f>MONTH(N24)</f>
        <v>1</v>
      </c>
      <c r="L24" s="21">
        <f>YEAR(N24)</f>
        <v>2024</v>
      </c>
      <c r="M24" s="21">
        <v>33033892</v>
      </c>
      <c r="N24" s="40">
        <v>45301</v>
      </c>
      <c r="O24" s="21" t="str">
        <f>"S7138270"</f>
        <v>S7138270</v>
      </c>
      <c r="P24" s="4" t="str">
        <f>"45018483"</f>
        <v>45018483</v>
      </c>
      <c r="Q24" s="4" t="s">
        <v>78</v>
      </c>
      <c r="R24" s="4" t="str">
        <f>"CN0170-SGD"</f>
        <v>CN0170-SGD</v>
      </c>
      <c r="S24" s="4" t="str">
        <f>"NATIONAL SKIN CENTRE (SINGAPORE) PTE LTD"</f>
        <v>NATIONAL SKIN CENTRE (SINGAPORE) PTE LTD</v>
      </c>
      <c r="T24" s="3" t="str">
        <f>"MMD-PO24-00028"</f>
        <v>MMD-PO24-00028</v>
      </c>
      <c r="U24" s="46">
        <v>45300</v>
      </c>
      <c r="V24" s="46">
        <v>45301</v>
      </c>
      <c r="W24" s="47">
        <f>SUM(N24-U24)</f>
        <v>1</v>
      </c>
      <c r="X24" s="4" t="str">
        <f>"MS9EM-00831-GLP"</f>
        <v>MS9EM-00831-GLP</v>
      </c>
      <c r="Y24" s="4" t="str">
        <f>"MS WIN SVR STD CORE 2022 SNGL 16 LIC CORE LIC"</f>
        <v>MS WIN SVR STD CORE 2022 SNGL 16 LIC CORE LIC</v>
      </c>
      <c r="Z24" s="59" t="str">
        <f>"WENDY KUM CHIOU SZE"</f>
        <v>WENDY KUM CHIOU SZE</v>
      </c>
      <c r="AA24" s="47">
        <v>1</v>
      </c>
      <c r="AB24" s="59" t="str">
        <f>"FINANCE DEPARTMENT"</f>
        <v>FINANCE DEPARTMENT</v>
      </c>
      <c r="AC24" s="50" t="s">
        <v>93</v>
      </c>
      <c r="AD24" s="60" t="str">
        <f>"SENTHIL_x000D_NATIONAL SKIN CENTRE 1 MANDALAY ROAD, SINGAPORE 308205 SINGAPORE 308205_x000D_SENTHIL/SERENE NG_x000D_TEL: _x000D_FAX: sereneng@nsc.com.sg_x000D_EMAIL: ganapathy.senthil.kumar@synapxe.sg"</f>
        <v>SENTHIL_x000D_NATIONAL SKIN CENTRE 1 MANDALAY ROAD, SINGAPORE 308205 SINGAPORE 308205_x000D_SENTHIL/SERENE NG_x000D_TEL: _x000D_FAX: sereneng@nsc.com.sg_x000D_EMAIL: ganapathy.senthil.kumar@synapxe.sg</v>
      </c>
      <c r="AE24" s="5" t="s">
        <v>78</v>
      </c>
      <c r="AF24" s="4" t="s">
        <v>94</v>
      </c>
      <c r="AG24" s="4" t="str">
        <f>"MS9EM-00831-GLP"</f>
        <v>MS9EM-00831-GLP</v>
      </c>
      <c r="AH24" s="61" t="str">
        <f>"MS WIN SVR STD CORE 2022 SNGL 16 LIC CORE LIC"</f>
        <v>MS WIN SVR STD CORE 2022 SNGL 16 LIC CORE LIC</v>
      </c>
      <c r="AI24" s="4" t="str">
        <f>"-"</f>
        <v>-</v>
      </c>
      <c r="AJ24" s="21" t="str">
        <f>"-"</f>
        <v>-</v>
      </c>
      <c r="AK24" s="21" t="str">
        <f>"-"</f>
        <v>-</v>
      </c>
      <c r="AL24" s="21" t="str">
        <f>"-"</f>
        <v>-</v>
      </c>
    </row>
    <row r="25" spans="1:38">
      <c r="A25" s="1" t="s">
        <v>191</v>
      </c>
      <c r="B25" s="1" t="str">
        <f t="shared" ref="B25:B30" si="0">IF(K25="","Hide","Show")</f>
        <v>Show</v>
      </c>
      <c r="C25" s="4" t="s">
        <v>48</v>
      </c>
      <c r="E25" s="12" t="str">
        <f>"""UICACS"","""",""SQL="",""2=DOCNUM"",""33033949"",""14=CUSTREF"",""8451299067"",""14=U_CUSTREF"",""8451299067"",""15=DOCDATE"",""16/1/2024"",""15=TAXDATE"",""16/1/2024"",""14=CARDCODE"",""CA0213-SGD"",""14=CARDNAME"",""ALEXANDRA HEALTH PTE. LTD."",""14=ITEMCODE"",""MSD86-05988GLP"",""14=ITEMN"&amp;"AME"",""MS VISIO STD 2021 SNGL LTSC"",""10=QUANTITY"",""1.000000"",""14=U_PONO"",""948011"",""15=U_PODATE"",""15/1/2024"",""10=U_TLINTCOS"",""0.000000"",""2=SLPCODE"",""132"",""14=SLPNAME"",""E0001-CS"",""14=MEMO"",""WENDY KUM CHIOU SZE"",""14=CONTACTNAME"",""E-INVOICE (AP DIRECT)"",""10=LI"&amp;"NETOTAL"",""278.460000"",""14=U_ENR"","""",""14=U_MSENR"",""S7138270"",""14=U_MSPCN"",""9BA9F0ED"",""14=ADDRESS2"",""NITHIYA_x000D_ALEXANDRA HEALTH PTE. LTD. C/O KHOO TECK PUAT HOSPITAL 90 YISHUN CENTRAL SINGAPORE 768828_x000D_NITHIYA_x000D_TEL: _x000D_FAX: _x000D_EMAIL: manickaswami.nithiya@ktph.com.s"&amp;"g"""</f>
        <v>"UICACS","","SQL=","2=DOCNUM","33033949","14=CUSTREF","8451299067","14=U_CUSTREF","8451299067","15=DOCDATE","16/1/2024","15=TAXDATE","16/1/2024","14=CARDCODE","CA0213-SGD","14=CARDNAME","ALEXANDRA HEALTH PTE. LTD.","14=ITEMCODE","MSD86-05988GLP","14=ITEMNAME","MS VISIO STD 2021 SNGL LTSC","10=QUANTITY","1.000000","14=U_PONO","948011","15=U_PODATE","15/1/2024","10=U_TLINTCOS","0.000000","2=SLPCODE","132","14=SLPNAME","E0001-CS","14=MEMO","WENDY KUM CHIOU SZE","14=CONTACTNAME","E-INVOICE (AP DIRECT)","10=LINETOTAL","278.460000","14=U_ENR","","14=U_MSENR","S7138270","14=U_MSPCN","9BA9F0ED","14=ADDRESS2","NITHIYA_x000D_ALEXANDRA HEALTH PTE. LTD. C/O KHOO TECK PUAT HOSPITAL 90 YISHUN CENTRAL SINGAPORE 768828_x000D_NITHIYA_x000D_TEL: _x000D_FAX: _x000D_EMAIL: manickaswami.nithiya@ktph.com.sg"</v>
      </c>
      <c r="K25" s="21">
        <f>MONTH(N25)</f>
        <v>1</v>
      </c>
      <c r="L25" s="21">
        <f>YEAR(N25)</f>
        <v>2024</v>
      </c>
      <c r="M25" s="21">
        <v>33033949</v>
      </c>
      <c r="N25" s="40">
        <v>45307</v>
      </c>
      <c r="O25" s="21" t="str">
        <f>"S7138270"</f>
        <v>S7138270</v>
      </c>
      <c r="P25" s="4" t="str">
        <f>"9BA9F0ED"</f>
        <v>9BA9F0ED</v>
      </c>
      <c r="Q25" s="4" t="s">
        <v>78</v>
      </c>
      <c r="R25" s="4" t="str">
        <f>"CA0213-SGD"</f>
        <v>CA0213-SGD</v>
      </c>
      <c r="S25" s="4" t="str">
        <f>"ALEXANDRA HEALTH PTE. LTD."</f>
        <v>ALEXANDRA HEALTH PTE. LTD.</v>
      </c>
      <c r="T25" s="3" t="str">
        <f>"8451299067"</f>
        <v>8451299067</v>
      </c>
      <c r="U25" s="46">
        <v>45306</v>
      </c>
      <c r="V25" s="46">
        <v>45307</v>
      </c>
      <c r="W25" s="47">
        <f>SUM(N25-U25)</f>
        <v>1</v>
      </c>
      <c r="X25" s="4" t="str">
        <f>"MSD86-05988GLP"</f>
        <v>MSD86-05988GLP</v>
      </c>
      <c r="Y25" s="4" t="str">
        <f>"MS VISIO STD 2021 SNGL LTSC"</f>
        <v>MS VISIO STD 2021 SNGL LTSC</v>
      </c>
      <c r="Z25" s="59" t="str">
        <f>"WENDY KUM CHIOU SZE"</f>
        <v>WENDY KUM CHIOU SZE</v>
      </c>
      <c r="AA25" s="47">
        <v>1</v>
      </c>
      <c r="AB25" s="59" t="str">
        <f>"E-INVOICE (AP DIRECT)"</f>
        <v>E-INVOICE (AP DIRECT)</v>
      </c>
      <c r="AC25" s="50" t="s">
        <v>93</v>
      </c>
      <c r="AD25" s="60" t="str">
        <f>"NITHIYA_x000D_ALEXANDRA HEALTH PTE. LTD. C/O KHOO TECK PUAT HOSPITAL 90 YISHUN CENTRAL SINGAPORE 768828_x000D_NITHIYA_x000D_TEL: _x000D_FAX: _x000D_EMAIL: manickaswami.nithiya@ktph.com.sg"</f>
        <v>NITHIYA_x000D_ALEXANDRA HEALTH PTE. LTD. C/O KHOO TECK PUAT HOSPITAL 90 YISHUN CENTRAL SINGAPORE 768828_x000D_NITHIYA_x000D_TEL: _x000D_FAX: _x000D_EMAIL: manickaswami.nithiya@ktph.com.sg</v>
      </c>
      <c r="AE25" s="5" t="s">
        <v>78</v>
      </c>
      <c r="AF25" s="4" t="s">
        <v>94</v>
      </c>
      <c r="AG25" s="4" t="str">
        <f>"MSD86-05988GLP"</f>
        <v>MSD86-05988GLP</v>
      </c>
      <c r="AH25" s="61" t="str">
        <f>"MS VISIO STD 2021 SNGL LTSC"</f>
        <v>MS VISIO STD 2021 SNGL LTSC</v>
      </c>
      <c r="AI25" s="4" t="str">
        <f>"-"</f>
        <v>-</v>
      </c>
      <c r="AJ25" s="21" t="str">
        <f>"-"</f>
        <v>-</v>
      </c>
      <c r="AK25" s="21" t="str">
        <f>"-"</f>
        <v>-</v>
      </c>
      <c r="AL25" s="21" t="str">
        <f>"-"</f>
        <v>-</v>
      </c>
    </row>
    <row r="26" spans="1:38">
      <c r="A26" s="1" t="s">
        <v>191</v>
      </c>
      <c r="B26" s="1" t="str">
        <f t="shared" si="0"/>
        <v>Show</v>
      </c>
      <c r="C26" s="4" t="s">
        <v>48</v>
      </c>
      <c r="E26" s="12" t="str">
        <f>"""UICACS"","""",""SQL="",""2=DOCNUM"",""33033950"",""14=CUSTREF"",""8451299067"",""14=U_CUSTREF"",""8451299067"",""15=DOCDATE"",""16/1/2024"",""15=TAXDATE"",""16/1/2024"",""14=CARDCODE"",""CA0213-SGD"",""14=CARDNAME"",""ALEXANDRA HEALTH PTE. LTD."",""14=ITEMCODE"",""MSD86-05988GLP"",""14=ITEMN"&amp;"AME"",""MS VISIO STD 2021 SNGL LTSC"",""10=QUANTITY"",""1.000000"",""14=U_PONO"",""948011"",""15=U_PODATE"",""15/1/2024"",""10=U_TLINTCOS"",""0.000000"",""2=SLPCODE"",""132"",""14=SLPNAME"",""E0001-CS"",""14=MEMO"",""WENDY KUM CHIOU SZE"",""14=CONTACTNAME"",""E-INVOICE (AP DIRECT)"",""10=LI"&amp;"NETOTAL"",""278.460000"",""14=U_ENR"","""",""14=U_MSENR"",""S7138270"",""14=U_MSPCN"",""9BA9F0ED"",""14=ADDRESS2"",""DAVID HA_x000D_ALEXANDRA HEALTH PTE. LTD. C/O KHOO TECK PUAT HOSPITAL 90 YISHUN CENTRAL SINGAPORE 768828_x000D_DAVID HA_x000D_TEL: _x000D_FAX: _x000D_EMAIL: ha.david.db@ktph.com.sg"""</f>
        <v>"UICACS","","SQL=","2=DOCNUM","33033950","14=CUSTREF","8451299067","14=U_CUSTREF","8451299067","15=DOCDATE","16/1/2024","15=TAXDATE","16/1/2024","14=CARDCODE","CA0213-SGD","14=CARDNAME","ALEXANDRA HEALTH PTE. LTD.","14=ITEMCODE","MSD86-05988GLP","14=ITEMNAME","MS VISIO STD 2021 SNGL LTSC","10=QUANTITY","1.000000","14=U_PONO","948011","15=U_PODATE","15/1/2024","10=U_TLINTCOS","0.000000","2=SLPCODE","132","14=SLPNAME","E0001-CS","14=MEMO","WENDY KUM CHIOU SZE","14=CONTACTNAME","E-INVOICE (AP DIRECT)","10=LINETOTAL","278.460000","14=U_ENR","","14=U_MSENR","S7138270","14=U_MSPCN","9BA9F0ED","14=ADDRESS2","DAVID HA_x000D_ALEXANDRA HEALTH PTE. LTD. C/O KHOO TECK PUAT HOSPITAL 90 YISHUN CENTRAL SINGAPORE 768828_x000D_DAVID HA_x000D_TEL: _x000D_FAX: _x000D_EMAIL: ha.david.db@ktph.com.sg"</v>
      </c>
      <c r="K26" s="21">
        <f>MONTH(N26)</f>
        <v>1</v>
      </c>
      <c r="L26" s="21">
        <f>YEAR(N26)</f>
        <v>2024</v>
      </c>
      <c r="M26" s="21">
        <v>33033950</v>
      </c>
      <c r="N26" s="40">
        <v>45307</v>
      </c>
      <c r="O26" s="21" t="str">
        <f>"S7138270"</f>
        <v>S7138270</v>
      </c>
      <c r="P26" s="4" t="str">
        <f>"9BA9F0ED"</f>
        <v>9BA9F0ED</v>
      </c>
      <c r="Q26" s="4" t="s">
        <v>78</v>
      </c>
      <c r="R26" s="4" t="str">
        <f>"CA0213-SGD"</f>
        <v>CA0213-SGD</v>
      </c>
      <c r="S26" s="4" t="str">
        <f>"ALEXANDRA HEALTH PTE. LTD."</f>
        <v>ALEXANDRA HEALTH PTE. LTD.</v>
      </c>
      <c r="T26" s="3" t="str">
        <f>"8451299067"</f>
        <v>8451299067</v>
      </c>
      <c r="U26" s="46">
        <v>45306</v>
      </c>
      <c r="V26" s="46">
        <v>45307</v>
      </c>
      <c r="W26" s="47">
        <f>SUM(N26-U26)</f>
        <v>1</v>
      </c>
      <c r="X26" s="4" t="str">
        <f>"MSD86-05988GLP"</f>
        <v>MSD86-05988GLP</v>
      </c>
      <c r="Y26" s="4" t="str">
        <f>"MS VISIO STD 2021 SNGL LTSC"</f>
        <v>MS VISIO STD 2021 SNGL LTSC</v>
      </c>
      <c r="Z26" s="59" t="str">
        <f>"WENDY KUM CHIOU SZE"</f>
        <v>WENDY KUM CHIOU SZE</v>
      </c>
      <c r="AA26" s="47">
        <v>1</v>
      </c>
      <c r="AB26" s="59" t="str">
        <f>"E-INVOICE (AP DIRECT)"</f>
        <v>E-INVOICE (AP DIRECT)</v>
      </c>
      <c r="AC26" s="50" t="s">
        <v>93</v>
      </c>
      <c r="AD26" s="60" t="str">
        <f>"DAVID HA_x000D_ALEXANDRA HEALTH PTE. LTD. C/O KHOO TECK PUAT HOSPITAL 90 YISHUN CENTRAL SINGAPORE 768828_x000D_DAVID HA_x000D_TEL: _x000D_FAX: _x000D_EMAIL: ha.david.db@ktph.com.sg"</f>
        <v>DAVID HA_x000D_ALEXANDRA HEALTH PTE. LTD. C/O KHOO TECK PUAT HOSPITAL 90 YISHUN CENTRAL SINGAPORE 768828_x000D_DAVID HA_x000D_TEL: _x000D_FAX: _x000D_EMAIL: ha.david.db@ktph.com.sg</v>
      </c>
      <c r="AE26" s="5" t="s">
        <v>78</v>
      </c>
      <c r="AF26" s="4" t="s">
        <v>94</v>
      </c>
      <c r="AG26" s="4" t="str">
        <f>"MSD86-05988GLP"</f>
        <v>MSD86-05988GLP</v>
      </c>
      <c r="AH26" s="61" t="str">
        <f>"MS VISIO STD 2021 SNGL LTSC"</f>
        <v>MS VISIO STD 2021 SNGL LTSC</v>
      </c>
      <c r="AI26" s="4" t="str">
        <f>"-"</f>
        <v>-</v>
      </c>
      <c r="AJ26" s="21" t="str">
        <f>"-"</f>
        <v>-</v>
      </c>
      <c r="AK26" s="21" t="str">
        <f>"-"</f>
        <v>-</v>
      </c>
      <c r="AL26" s="21" t="str">
        <f>"-"</f>
        <v>-</v>
      </c>
    </row>
    <row r="27" spans="1:38">
      <c r="A27" s="1" t="s">
        <v>191</v>
      </c>
      <c r="B27" s="1" t="str">
        <f t="shared" si="0"/>
        <v>Show</v>
      </c>
      <c r="C27" s="4" t="s">
        <v>48</v>
      </c>
      <c r="E27" s="12" t="str">
        <f>"""UICACS"","""",""SQL="",""2=DOCNUM"",""33034036"",""14=CUSTREF"",""4560089490"",""14=U_CUSTREF"",""4560089490"",""15=DOCDATE"",""29/1/2024"",""15=TAXDATE"",""29/1/2024"",""14=CARDCODE"",""CI1252-SGD"",""14=CARDNAME"",""NATIONAL HEALTHCARE GROUP POLYCLINICS"",""14=ITEMCODE"",""MS9EM-00831-GL"&amp;"P"",""14=ITEMNAME"",""MS WIN SVR STD CORE 2022 SNGL 16 LIC CORE LIC"",""10=QUANTITY"",""1.000000"",""14=U_PONO"",""948247B"",""15=U_PODATE"",""29/1/2024"",""10=U_TLINTCOS"",""0.000000"",""2=SLPCODE"",""132"",""14=SLPNAME"",""E0001-CS"",""14=MEMO"",""WENDY KUM CHIOU SZE"",""14=CONTACTNAME"""&amp;",""E-INVOICE"",""10=LINETOTAL"",""986.820000"",""14=U_ENR"","""",""14=U_MSENR"",""S7138270"",""14=U_MSPCN"",""45018483"",""14=ADDRESS2"",""KWA HAN SIONG_x000D_NATIONAL HEALTHCARE GROUP POLYCLINICS 3 FUSIONOPOLIS LINK, #05-10, NEXUS@ONE-NORTH, SINGAPORE 138543_x000D_KWA HAN SIONG_x000D_TEL: 649"&amp;"66723_x000D_FAX: _x000D_EMAIL: kwa.han.siong@alpshealthcare.com.sg"""</f>
        <v>"UICACS","","SQL=","2=DOCNUM","33034036","14=CUSTREF","4560089490","14=U_CUSTREF","4560089490","15=DOCDATE","29/1/2024","15=TAXDATE","29/1/2024","14=CARDCODE","CI1252-SGD","14=CARDNAME","NATIONAL HEALTHCARE GROUP POLYCLINICS","14=ITEMCODE","MS9EM-00831-GLP","14=ITEMNAME","MS WIN SVR STD CORE 2022 SNGL 16 LIC CORE LIC","10=QUANTITY","1.000000","14=U_PONO","948247B","15=U_PODATE","29/1/2024","10=U_TLINTCOS","0.000000","2=SLPCODE","132","14=SLPNAME","E0001-CS","14=MEMO","WENDY KUM CHIOU SZE","14=CONTACTNAME","E-INVOICE","10=LINETOTAL","986.820000","14=U_ENR","","14=U_MSENR","S7138270","14=U_MSPCN","45018483","14=ADDRESS2","KWA HAN SIONG_x000D_NATIONAL HEALTHCARE GROUP POLYCLINICS 3 FUSIONOPOLIS LINK, #05-10, NEXUS@ONE-NORTH, SINGAPORE 138543_x000D_KWA HAN SIONG_x000D_TEL: 64966723_x000D_FAX: _x000D_EMAIL: kwa.han.siong@alpshealthcare.com.sg"</v>
      </c>
      <c r="K27" s="21">
        <f>MONTH(N27)</f>
        <v>1</v>
      </c>
      <c r="L27" s="21">
        <f>YEAR(N27)</f>
        <v>2024</v>
      </c>
      <c r="M27" s="21">
        <v>33034036</v>
      </c>
      <c r="N27" s="40">
        <v>45320</v>
      </c>
      <c r="O27" s="21" t="str">
        <f>"S7138270"</f>
        <v>S7138270</v>
      </c>
      <c r="P27" s="4" t="str">
        <f>"45018483"</f>
        <v>45018483</v>
      </c>
      <c r="Q27" s="4" t="s">
        <v>78</v>
      </c>
      <c r="R27" s="4" t="str">
        <f>"CI1252-SGD"</f>
        <v>CI1252-SGD</v>
      </c>
      <c r="S27" s="4" t="str">
        <f>"NATIONAL HEALTHCARE GROUP POLYCLINICS"</f>
        <v>NATIONAL HEALTHCARE GROUP POLYCLINICS</v>
      </c>
      <c r="T27" s="3" t="str">
        <f>"4560089490"</f>
        <v>4560089490</v>
      </c>
      <c r="U27" s="46">
        <v>45320</v>
      </c>
      <c r="V27" s="46">
        <v>45320</v>
      </c>
      <c r="W27" s="47">
        <f>SUM(N27-U27)</f>
        <v>0</v>
      </c>
      <c r="X27" s="4" t="str">
        <f>"MS9EM-00831-GLP"</f>
        <v>MS9EM-00831-GLP</v>
      </c>
      <c r="Y27" s="4" t="str">
        <f>"MS WIN SVR STD CORE 2022 SNGL 16 LIC CORE LIC"</f>
        <v>MS WIN SVR STD CORE 2022 SNGL 16 LIC CORE LIC</v>
      </c>
      <c r="Z27" s="59" t="str">
        <f>"WENDY KUM CHIOU SZE"</f>
        <v>WENDY KUM CHIOU SZE</v>
      </c>
      <c r="AA27" s="47">
        <v>1</v>
      </c>
      <c r="AB27" s="59" t="str">
        <f>"E-INVOICE"</f>
        <v>E-INVOICE</v>
      </c>
      <c r="AC27" s="50" t="s">
        <v>93</v>
      </c>
      <c r="AD27" s="60" t="str">
        <f>"KWA HAN SIONG_x000D_NATIONAL HEALTHCARE GROUP POLYCLINICS 3 FUSIONOPOLIS LINK, #05-10, NEXUS@ONE-NORTH, SINGAPORE 138543_x000D_KWA HAN SIONG_x000D_TEL: 64966723_x000D_FAX: _x000D_EMAIL: kwa.han.siong@alpshealthcare.com.sg"</f>
        <v>KWA HAN SIONG_x000D_NATIONAL HEALTHCARE GROUP POLYCLINICS 3 FUSIONOPOLIS LINK, #05-10, NEXUS@ONE-NORTH, SINGAPORE 138543_x000D_KWA HAN SIONG_x000D_TEL: 64966723_x000D_FAX: _x000D_EMAIL: kwa.han.siong@alpshealthcare.com.sg</v>
      </c>
      <c r="AE27" s="5" t="s">
        <v>78</v>
      </c>
      <c r="AF27" s="4" t="s">
        <v>94</v>
      </c>
      <c r="AG27" s="4" t="str">
        <f>"MS9EM-00831-GLP"</f>
        <v>MS9EM-00831-GLP</v>
      </c>
      <c r="AH27" s="61" t="str">
        <f>"MS WIN SVR STD CORE 2022 SNGL 16 LIC CORE LIC"</f>
        <v>MS WIN SVR STD CORE 2022 SNGL 16 LIC CORE LIC</v>
      </c>
      <c r="AI27" s="4" t="str">
        <f>"-"</f>
        <v>-</v>
      </c>
      <c r="AJ27" s="21" t="str">
        <f>"-"</f>
        <v>-</v>
      </c>
      <c r="AK27" s="21" t="str">
        <f>"-"</f>
        <v>-</v>
      </c>
      <c r="AL27" s="21" t="str">
        <f>"-"</f>
        <v>-</v>
      </c>
    </row>
    <row r="28" spans="1:38">
      <c r="A28" s="1" t="s">
        <v>191</v>
      </c>
      <c r="B28" s="1" t="str">
        <f t="shared" si="0"/>
        <v>Show</v>
      </c>
      <c r="C28" s="4" t="s">
        <v>48</v>
      </c>
      <c r="E28" s="12" t="str">
        <f>"""UICACS"","""",""SQL="",""2=DOCNUM"",""33034037"",""14=CUSTREF"",""4560089487"",""14=U_CUSTREF"",""4560089487"",""15=DOCDATE"",""29/1/2024"",""15=TAXDATE"",""29/1/2024"",""14=CARDCODE"",""CI1252-SGD"",""14=CARDNAME"",""NATIONAL HEALTHCARE GROUP POLYCLINICS"",""14=ITEMCODE"",""MS9EM-00831-GL"&amp;"P"",""14=ITEMNAME"",""MS WIN SVR STD CORE 2022 SNGL 16 LIC CORE LIC"",""10=QUANTITY"",""2.000000"",""14=U_PONO"",""948247"",""15=U_PODATE"",""29/1/2024"",""10=U_TLINTCOS"",""0.000000"",""2=SLPCODE"",""132"",""14=SLPNAME"",""E0001-CS"",""14=MEMO"",""WENDY KUM CHIOU SZE"",""14=CONTACTNAME"","&amp;"""E-INVOICE"",""10=LINETOTAL"",""1944.640000"",""14=U_ENR"","""",""14=U_MSENR"",""S7138270"",""14=U_MSPCN"",""45018483"",""14=ADDRESS2"",""MS ROSLINDA BTE ARSAT_x000D_NATIONAL HEALTHCARE GROUP (POLYCLINICS) 3 FUSIONOPOLIS LINK, #05-10, NEXUS@ONE-NORTH, SINGAPORE 138543_x000D_MS ROSLINDA "&amp;"BTE ARSAT/ALINAH_x000D_TEL: 6496 6726_x000D_FAX: _x000D_EMAIL:"""</f>
        <v>"UICACS","","SQL=","2=DOCNUM","33034037","14=CUSTREF","4560089487","14=U_CUSTREF","4560089487","15=DOCDATE","29/1/2024","15=TAXDATE","29/1/2024","14=CARDCODE","CI1252-SGD","14=CARDNAME","NATIONAL HEALTHCARE GROUP POLYCLINICS","14=ITEMCODE","MS9EM-00831-GLP","14=ITEMNAME","MS WIN SVR STD CORE 2022 SNGL 16 LIC CORE LIC","10=QUANTITY","2.000000","14=U_PONO","948247","15=U_PODATE","29/1/2024","10=U_TLINTCOS","0.000000","2=SLPCODE","132","14=SLPNAME","E0001-CS","14=MEMO","WENDY KUM CHIOU SZE","14=CONTACTNAME","E-INVOICE","10=LINETOTAL","1944.640000","14=U_ENR","","14=U_MSENR","S7138270","14=U_MSPCN","45018483","14=ADDRESS2","MS ROSLINDA BTE ARSAT_x000D_NATIONAL HEALTHCARE GROUP (POLYCLINICS) 3 FUSIONOPOLIS LINK, #05-10, NEXUS@ONE-NORTH, SINGAPORE 138543_x000D_MS ROSLINDA BTE ARSAT/ALINAH_x000D_TEL: 6496 6726_x000D_FAX: _x000D_EMAIL:"</v>
      </c>
      <c r="K28" s="21">
        <f>MONTH(N28)</f>
        <v>1</v>
      </c>
      <c r="L28" s="21">
        <f>YEAR(N28)</f>
        <v>2024</v>
      </c>
      <c r="M28" s="21">
        <v>33034037</v>
      </c>
      <c r="N28" s="40">
        <v>45320</v>
      </c>
      <c r="O28" s="21" t="str">
        <f>"S7138270"</f>
        <v>S7138270</v>
      </c>
      <c r="P28" s="4" t="str">
        <f>"45018483"</f>
        <v>45018483</v>
      </c>
      <c r="Q28" s="4" t="s">
        <v>78</v>
      </c>
      <c r="R28" s="4" t="str">
        <f>"CI1252-SGD"</f>
        <v>CI1252-SGD</v>
      </c>
      <c r="S28" s="4" t="str">
        <f>"NATIONAL HEALTHCARE GROUP POLYCLINICS"</f>
        <v>NATIONAL HEALTHCARE GROUP POLYCLINICS</v>
      </c>
      <c r="T28" s="3" t="str">
        <f>"4560089487"</f>
        <v>4560089487</v>
      </c>
      <c r="U28" s="46">
        <v>45320</v>
      </c>
      <c r="V28" s="46">
        <v>45320</v>
      </c>
      <c r="W28" s="47">
        <f>SUM(N28-U28)</f>
        <v>0</v>
      </c>
      <c r="X28" s="4" t="str">
        <f>"MS9EM-00831-GLP"</f>
        <v>MS9EM-00831-GLP</v>
      </c>
      <c r="Y28" s="4" t="str">
        <f>"MS WIN SVR STD CORE 2022 SNGL 16 LIC CORE LIC"</f>
        <v>MS WIN SVR STD CORE 2022 SNGL 16 LIC CORE LIC</v>
      </c>
      <c r="Z28" s="59" t="str">
        <f>"WENDY KUM CHIOU SZE"</f>
        <v>WENDY KUM CHIOU SZE</v>
      </c>
      <c r="AA28" s="47">
        <v>2</v>
      </c>
      <c r="AB28" s="59" t="str">
        <f>"E-INVOICE"</f>
        <v>E-INVOICE</v>
      </c>
      <c r="AC28" s="50" t="s">
        <v>93</v>
      </c>
      <c r="AD28" s="60" t="str">
        <f>"MS ROSLINDA BTE ARSAT_x000D_NATIONAL HEALTHCARE GROUP (POLYCLINICS) 3 FUSIONOPOLIS LINK, #05-10, NEXUS@ONE-NORTH, SINGAPORE 138543_x000D_MS ROSLINDA BTE ARSAT/ALINAH_x000D_TEL: 6496 6726_x000D_FAX: _x000D_EMAIL:"</f>
        <v>MS ROSLINDA BTE ARSAT_x000D_NATIONAL HEALTHCARE GROUP (POLYCLINICS) 3 FUSIONOPOLIS LINK, #05-10, NEXUS@ONE-NORTH, SINGAPORE 138543_x000D_MS ROSLINDA BTE ARSAT/ALINAH_x000D_TEL: 6496 6726_x000D_FAX: _x000D_EMAIL:</v>
      </c>
      <c r="AE28" s="5" t="s">
        <v>78</v>
      </c>
      <c r="AF28" s="4" t="s">
        <v>94</v>
      </c>
      <c r="AG28" s="4" t="str">
        <f>"MS9EM-00831-GLP"</f>
        <v>MS9EM-00831-GLP</v>
      </c>
      <c r="AH28" s="61" t="str">
        <f>"MS WIN SVR STD CORE 2022 SNGL 16 LIC CORE LIC"</f>
        <v>MS WIN SVR STD CORE 2022 SNGL 16 LIC CORE LIC</v>
      </c>
      <c r="AI28" s="4" t="str">
        <f>"-"</f>
        <v>-</v>
      </c>
      <c r="AJ28" s="21" t="str">
        <f>"-"</f>
        <v>-</v>
      </c>
      <c r="AK28" s="21" t="str">
        <f>"-"</f>
        <v>-</v>
      </c>
      <c r="AL28" s="21" t="str">
        <f>"-"</f>
        <v>-</v>
      </c>
    </row>
    <row r="29" spans="1:38">
      <c r="A29" s="1" t="s">
        <v>191</v>
      </c>
      <c r="B29" s="1" t="str">
        <f t="shared" si="0"/>
        <v>Show</v>
      </c>
      <c r="C29" s="4" t="s">
        <v>48</v>
      </c>
      <c r="E29" s="12" t="str">
        <f>"""UICACS"","""",""SQL="",""2=DOCNUM"",""33034043"",""14=CUSTREF"",""2024000083"",""14=U_CUSTREF"",""2024000083"",""15=DOCDATE"",""29/1/2024"",""15=TAXDATE"",""29/1/2024"",""14=CARDCODE"",""CR0098-SGD"",""14=CARDNAME"",""REN CI HOSPITAL"",""14=ITEMCODE"",""MSR18-06495-GLP"",""14=ITEMNAME"",""MS W"&amp;"IN SERVER CAL 2022 SNGL UCAL"",""10=QUANTITY"",""54.000000"",""14=U_PONO"",""948220"",""15=U_PODATE"",""25/1/2023"",""10=U_TLINTCOS"",""0.000000"",""2=SLPCODE"",""132"",""14=SLPNAME"",""E0001-CS"",""14=MEMO"",""WENDY KUM CHIOU SZE"",""14=CONTACTNAME"",""TAN EK CHER"",""10=LINETOTAL"",""2283"&amp;".120000"",""14=U_ENR"","""",""14=U_MSENR"",""S7138270"",""14=U_MSPCN"",""AED5984D"",""14=ADDRESS2"",""TAN EK CHER_x000D_REN CI HOSPITAL 71 IRRAWADDY ROAD, BO-MIS, LEVEL 2, SINGAPORE 329562_x000D_TAN EK CHER_x000D_TEL: 6355 6050_x000D_FAX: _x000D_EMAIL: ekcher_tan@renci.org.sg"""</f>
        <v>"UICACS","","SQL=","2=DOCNUM","33034043","14=CUSTREF","2024000083","14=U_CUSTREF","2024000083","15=DOCDATE","29/1/2024","15=TAXDATE","29/1/2024","14=CARDCODE","CR0098-SGD","14=CARDNAME","REN CI HOSPITAL","14=ITEMCODE","MSR18-06495-GLP","14=ITEMNAME","MS WIN SERVER CAL 2022 SNGL UCAL","10=QUANTITY","54.000000","14=U_PONO","948220","15=U_PODATE","25/1/2023","10=U_TLINTCOS","0.000000","2=SLPCODE","132","14=SLPNAME","E0001-CS","14=MEMO","WENDY KUM CHIOU SZE","14=CONTACTNAME","TAN EK CHER","10=LINETOTAL","2283.120000","14=U_ENR","","14=U_MSENR","S7138270","14=U_MSPCN","AED5984D","14=ADDRESS2","TAN EK CHER_x000D_REN CI HOSPITAL 71 IRRAWADDY ROAD, BO-MIS, LEVEL 2, SINGAPORE 329562_x000D_TAN EK CHER_x000D_TEL: 6355 6050_x000D_FAX: _x000D_EMAIL: ekcher_tan@renci.org.sg"</v>
      </c>
      <c r="K29" s="21">
        <f>MONTH(N29)</f>
        <v>1</v>
      </c>
      <c r="L29" s="21">
        <f>YEAR(N29)</f>
        <v>2024</v>
      </c>
      <c r="M29" s="21">
        <v>33034043</v>
      </c>
      <c r="N29" s="40">
        <v>45320</v>
      </c>
      <c r="O29" s="21" t="str">
        <f>"S7138270"</f>
        <v>S7138270</v>
      </c>
      <c r="P29" s="4" t="str">
        <f>"AED5984D"</f>
        <v>AED5984D</v>
      </c>
      <c r="Q29" s="4" t="s">
        <v>78</v>
      </c>
      <c r="R29" s="4" t="str">
        <f>"CR0098-SGD"</f>
        <v>CR0098-SGD</v>
      </c>
      <c r="S29" s="4" t="str">
        <f>"REN CI HOSPITAL"</f>
        <v>REN CI HOSPITAL</v>
      </c>
      <c r="T29" s="3" t="str">
        <f>"2024000083"</f>
        <v>2024000083</v>
      </c>
      <c r="U29" s="46">
        <v>45316</v>
      </c>
      <c r="V29" s="46">
        <v>45320</v>
      </c>
      <c r="W29" s="47">
        <f>SUM(N29-U29)</f>
        <v>4</v>
      </c>
      <c r="X29" s="4" t="str">
        <f>"MSR18-06495-GLP"</f>
        <v>MSR18-06495-GLP</v>
      </c>
      <c r="Y29" s="4" t="str">
        <f>"MS WIN SERVER CAL 2022 SNGL UCAL"</f>
        <v>MS WIN SERVER CAL 2022 SNGL UCAL</v>
      </c>
      <c r="Z29" s="59" t="str">
        <f>"WENDY KUM CHIOU SZE"</f>
        <v>WENDY KUM CHIOU SZE</v>
      </c>
      <c r="AA29" s="47">
        <v>54</v>
      </c>
      <c r="AB29" s="59" t="str">
        <f>"TAN EK CHER"</f>
        <v>TAN EK CHER</v>
      </c>
      <c r="AC29" s="50" t="s">
        <v>93</v>
      </c>
      <c r="AD29" s="60" t="str">
        <f>"TAN EK CHER_x000D_REN CI HOSPITAL 71 IRRAWADDY ROAD, BO-MIS, LEVEL 2, SINGAPORE 329562_x000D_TAN EK CHER_x000D_TEL: 6355 6050_x000D_FAX: _x000D_EMAIL: ekcher_tan@renci.org.sg"</f>
        <v>TAN EK CHER_x000D_REN CI HOSPITAL 71 IRRAWADDY ROAD, BO-MIS, LEVEL 2, SINGAPORE 329562_x000D_TAN EK CHER_x000D_TEL: 6355 6050_x000D_FAX: _x000D_EMAIL: ekcher_tan@renci.org.sg</v>
      </c>
      <c r="AE29" s="5" t="s">
        <v>78</v>
      </c>
      <c r="AF29" s="4" t="s">
        <v>94</v>
      </c>
      <c r="AG29" s="4" t="str">
        <f>"MSR18-06495-GLP"</f>
        <v>MSR18-06495-GLP</v>
      </c>
      <c r="AH29" s="61" t="str">
        <f>"MS WIN SERVER CAL 2022 SNGL UCAL"</f>
        <v>MS WIN SERVER CAL 2022 SNGL UCAL</v>
      </c>
      <c r="AI29" s="4" t="str">
        <f>"-"</f>
        <v>-</v>
      </c>
      <c r="AJ29" s="21" t="str">
        <f>"-"</f>
        <v>-</v>
      </c>
      <c r="AK29" s="21" t="str">
        <f>"-"</f>
        <v>-</v>
      </c>
      <c r="AL29" s="21" t="str">
        <f>"-"</f>
        <v>-</v>
      </c>
    </row>
    <row r="30" spans="1:38">
      <c r="A30" s="1" t="s">
        <v>191</v>
      </c>
      <c r="B30" s="1" t="str">
        <f t="shared" si="0"/>
        <v>Show</v>
      </c>
      <c r="C30" s="4" t="s">
        <v>48</v>
      </c>
      <c r="E30" s="12" t="str">
        <f>"""UICACS"","""",""SQL="",""2=DOCNUM"",""33034044"",""14=CUSTREF"",""8454007303"",""14=U_CUSTREF"",""8454007303"",""15=DOCDATE"",""29/1/2024"",""15=TAXDATE"",""29/1/2024"",""14=CARDCODE"",""CW0080-SGD"",""14=CARDNAME"",""WOODLANDSHEALTH PTE. LTD."",""14=ITEMCODE"",""MS7NQ-00300GLP"",""14=ITEMNA"&amp;"ME"",""MS SQLSVRSTDCORE SNGL LICSAPK MVL 2LIC CORELIC"",""10=QUANTITY"",""2.000000"",""14=U_PONO"",""948215"",""15=U_PODATE"",""25/1/2024"",""10=U_TLINTCOS"",""0.000000"",""2=SLPCODE"",""132"",""14=SLPNAME"",""E0001-CS"",""14=MEMO"",""WENDY KUM CHIOU SZE"",""14=CONTACTNAME"",""FINANCE DEP"&amp;"ARTMENT - ACCOUNTS PAYABLE"",""10=LINETOTAL"",""12275.220000"",""14=U_ENR"","""",""14=U_MSENR"",""S7138270"",""14=U_MSPCN"",""92B8E51B"",""14=ADDRESS2"",""NICHOLAS KWOK JUN HUI_x000D_WOODLANDSHEALTH PTE. LTD. 17 WOODLANDS DRIVE 17  SINGAPORE 737628_x000D_NICHOLAS KWOK JUN HUI_x000D_TEL: _x000D_FAX:"&amp;" _x000D_EMAIL: nicholas_kwok@wh.com.sg"""</f>
        <v>"UICACS","","SQL=","2=DOCNUM","33034044","14=CUSTREF","8454007303","14=U_CUSTREF","8454007303","15=DOCDATE","29/1/2024","15=TAXDATE","29/1/2024","14=CARDCODE","CW0080-SGD","14=CARDNAME","WOODLANDSHEALTH PTE. LTD.","14=ITEMCODE","MS7NQ-00300GLP","14=ITEMNAME","MS SQLSVRSTDCORE SNGL LICSAPK MVL 2LIC CORELIC","10=QUANTITY","2.000000","14=U_PONO","948215","15=U_PODATE","25/1/2024","10=U_TLINTCOS","0.000000","2=SLPCODE","132","14=SLPNAME","E0001-CS","14=MEMO","WENDY KUM CHIOU SZE","14=CONTACTNAME","FINANCE DEPARTMENT - ACCOUNTS PAYABLE","10=LINETOTAL","12275.220000","14=U_ENR","","14=U_MSENR","S7138270","14=U_MSPCN","92B8E51B","14=ADDRESS2","NICHOLAS KWOK JUN HUI_x000D_WOODLANDSHEALTH PTE. LTD. 17 WOODLANDS DRIVE 17  SINGAPORE 737628_x000D_NICHOLAS KWOK JUN HUI_x000D_TEL: _x000D_FAX: _x000D_EMAIL: nicholas_kwok@wh.com.sg"</v>
      </c>
      <c r="K30" s="21">
        <f>MONTH(N30)</f>
        <v>1</v>
      </c>
      <c r="L30" s="21">
        <f>YEAR(N30)</f>
        <v>2024</v>
      </c>
      <c r="M30" s="21">
        <v>33034044</v>
      </c>
      <c r="N30" s="40">
        <v>45320</v>
      </c>
      <c r="O30" s="21" t="str">
        <f>"S7138270"</f>
        <v>S7138270</v>
      </c>
      <c r="P30" s="4" t="str">
        <f>"92B8E51B"</f>
        <v>92B8E51B</v>
      </c>
      <c r="Q30" s="4" t="s">
        <v>78</v>
      </c>
      <c r="R30" s="4" t="str">
        <f>"CW0080-SGD"</f>
        <v>CW0080-SGD</v>
      </c>
      <c r="S30" s="4" t="str">
        <f>"WOODLANDSHEALTH PTE. LTD."</f>
        <v>WOODLANDSHEALTH PTE. LTD.</v>
      </c>
      <c r="T30" s="3" t="str">
        <f>"8454007303"</f>
        <v>8454007303</v>
      </c>
      <c r="U30" s="46">
        <v>45316</v>
      </c>
      <c r="V30" s="46">
        <v>45320</v>
      </c>
      <c r="W30" s="47">
        <f>SUM(N30-U30)</f>
        <v>4</v>
      </c>
      <c r="X30" s="4" t="str">
        <f>"MS7NQ-00300GLP"</f>
        <v>MS7NQ-00300GLP</v>
      </c>
      <c r="Y30" s="4" t="str">
        <f>"MS SQLSVRSTDCORE SNGL LICSAPK MVL 2LIC CORELIC"</f>
        <v>MS SQLSVRSTDCORE SNGL LICSAPK MVL 2LIC CORELIC</v>
      </c>
      <c r="Z30" s="59" t="str">
        <f>"WENDY KUM CHIOU SZE"</f>
        <v>WENDY KUM CHIOU SZE</v>
      </c>
      <c r="AA30" s="47">
        <v>2</v>
      </c>
      <c r="AB30" s="59" t="str">
        <f>"FINANCE DEPARTMENT - ACCOUNTS PAYABLE"</f>
        <v>FINANCE DEPARTMENT - ACCOUNTS PAYABLE</v>
      </c>
      <c r="AC30" s="50" t="s">
        <v>93</v>
      </c>
      <c r="AD30" s="60" t="str">
        <f>"NICHOLAS KWOK JUN HUI_x000D_WOODLANDSHEALTH PTE. LTD. 17 WOODLANDS DRIVE 17  SINGAPORE 737628_x000D_NICHOLAS KWOK JUN HUI_x000D_TEL: _x000D_FAX: _x000D_EMAIL: nicholas_kwok@wh.com.sg"</f>
        <v>NICHOLAS KWOK JUN HUI_x000D_WOODLANDSHEALTH PTE. LTD. 17 WOODLANDS DRIVE 17  SINGAPORE 737628_x000D_NICHOLAS KWOK JUN HUI_x000D_TEL: _x000D_FAX: _x000D_EMAIL: nicholas_kwok@wh.com.sg</v>
      </c>
      <c r="AE30" s="5" t="s">
        <v>78</v>
      </c>
      <c r="AF30" s="4" t="s">
        <v>94</v>
      </c>
      <c r="AG30" s="4" t="str">
        <f>"MS7NQ-00300GLP"</f>
        <v>MS7NQ-00300GLP</v>
      </c>
      <c r="AH30" s="61" t="str">
        <f>"MS SQLSVRSTDCORE SNGL LICSAPK MVL 2LIC CORELIC"</f>
        <v>MS SQLSVRSTDCORE SNGL LICSAPK MVL 2LIC CORELIC</v>
      </c>
      <c r="AI30" s="4" t="s">
        <v>366</v>
      </c>
      <c r="AJ30" s="21" t="s">
        <v>365</v>
      </c>
      <c r="AK30" s="21" t="s">
        <v>364</v>
      </c>
      <c r="AL30" s="21" t="str">
        <f>"-"</f>
        <v>-</v>
      </c>
    </row>
    <row r="31" spans="1:38" hidden="1">
      <c r="B31" s="1" t="str">
        <f>IF(K31="","Hide","Show")</f>
        <v>Hide</v>
      </c>
      <c r="C31" s="4" t="s">
        <v>49</v>
      </c>
      <c r="E31" s="12" t="str">
        <f>""</f>
        <v/>
      </c>
      <c r="K31" s="21" t="str">
        <f>""</f>
        <v/>
      </c>
      <c r="L31" s="40" t="str">
        <f>""</f>
        <v/>
      </c>
      <c r="M31" s="5"/>
      <c r="N31" s="40"/>
      <c r="O31" s="4" t="str">
        <f>""</f>
        <v/>
      </c>
      <c r="P31" s="4"/>
      <c r="Q31" s="4" t="str">
        <f>""</f>
        <v/>
      </c>
      <c r="R31" s="4" t="str">
        <f>""</f>
        <v/>
      </c>
      <c r="S31" s="4" t="str">
        <f>""</f>
        <v/>
      </c>
      <c r="T31" s="3" t="str">
        <f>""</f>
        <v/>
      </c>
      <c r="U31" s="5" t="s">
        <v>78</v>
      </c>
      <c r="V31" s="5"/>
      <c r="W31" s="5"/>
      <c r="X31" s="4" t="str">
        <f>""</f>
        <v/>
      </c>
      <c r="Y31" s="4" t="str">
        <f>""</f>
        <v/>
      </c>
      <c r="Z31" s="4" t="str">
        <f>""</f>
        <v/>
      </c>
      <c r="AA31" s="19" t="str">
        <f>""</f>
        <v/>
      </c>
      <c r="AB31" s="4" t="str">
        <f>""</f>
        <v/>
      </c>
      <c r="AC31" s="17"/>
      <c r="AD31" s="17" t="str">
        <f>""</f>
        <v/>
      </c>
      <c r="AE31" s="5" t="str">
        <f>""</f>
        <v/>
      </c>
      <c r="AF31" s="4" t="str">
        <f>""</f>
        <v/>
      </c>
    </row>
    <row r="32" spans="1:38" hidden="1">
      <c r="B32" s="1" t="str">
        <f>IF(K32="","Hide","Show")</f>
        <v>Hide</v>
      </c>
      <c r="C32" s="4" t="s">
        <v>50</v>
      </c>
      <c r="E32" s="12" t="str">
        <f>""</f>
        <v/>
      </c>
      <c r="K32" s="21" t="str">
        <f>""</f>
        <v/>
      </c>
      <c r="L32" s="40" t="str">
        <f>""</f>
        <v/>
      </c>
      <c r="M32" s="5"/>
      <c r="N32" s="40"/>
      <c r="O32" s="4" t="str">
        <f>""</f>
        <v/>
      </c>
      <c r="P32" s="4"/>
      <c r="Q32" s="4" t="str">
        <f>""</f>
        <v/>
      </c>
      <c r="R32" s="4" t="str">
        <f>""</f>
        <v/>
      </c>
      <c r="S32" s="4" t="str">
        <f>""</f>
        <v/>
      </c>
      <c r="T32" s="3" t="str">
        <f>""</f>
        <v/>
      </c>
      <c r="U32" s="5" t="s">
        <v>78</v>
      </c>
      <c r="V32" s="5"/>
      <c r="W32" s="5"/>
      <c r="X32" s="4" t="str">
        <f>""</f>
        <v/>
      </c>
      <c r="Y32" s="4" t="str">
        <f>""</f>
        <v/>
      </c>
      <c r="Z32" s="4" t="str">
        <f>""</f>
        <v/>
      </c>
      <c r="AA32" s="19" t="str">
        <f>""</f>
        <v/>
      </c>
      <c r="AB32" s="4" t="str">
        <f>""</f>
        <v/>
      </c>
      <c r="AC32" s="17"/>
      <c r="AD32" s="17"/>
      <c r="AE32" s="5" t="str">
        <f>""</f>
        <v/>
      </c>
      <c r="AF32" s="4" t="str">
        <f>""</f>
        <v/>
      </c>
    </row>
    <row r="33" spans="31:46">
      <c r="AE33" s="5"/>
    </row>
    <row r="34" spans="31:46">
      <c r="AO34" s="15"/>
    </row>
    <row r="35" spans="31:46">
      <c r="AP35" s="15"/>
    </row>
    <row r="36" spans="31:46">
      <c r="AQ36" s="15"/>
    </row>
    <row r="37" spans="31:46">
      <c r="AR37" s="15"/>
    </row>
    <row r="38" spans="31:46">
      <c r="AS38" s="15"/>
    </row>
    <row r="39" spans="31:46">
      <c r="AT39" s="15"/>
    </row>
  </sheetData>
  <sortState xmlns:xlrd2="http://schemas.microsoft.com/office/spreadsheetml/2017/richdata2" ref="K24:AH875">
    <sortCondition ref="Q24:Q877"/>
  </sortState>
  <mergeCells count="1">
    <mergeCell ref="K21:AL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1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62" t="s">
        <v>95</v>
      </c>
      <c r="C6" s="62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950F8-71E0-4FE5-BE9D-D657FAD94CCE}">
  <dimension ref="A1:E15"/>
  <sheetViews>
    <sheetView workbookViewId="0"/>
  </sheetViews>
  <sheetFormatPr defaultRowHeight="15"/>
  <sheetData>
    <row r="1" spans="1:5">
      <c r="A1" s="65" t="s">
        <v>109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97</v>
      </c>
    </row>
    <row r="4" spans="1:5">
      <c r="A4" s="65" t="s">
        <v>0</v>
      </c>
      <c r="B4" s="65" t="s">
        <v>6</v>
      </c>
      <c r="C4" s="65" t="s">
        <v>98</v>
      </c>
    </row>
    <row r="5" spans="1:5">
      <c r="A5" s="65" t="s">
        <v>0</v>
      </c>
      <c r="B5" s="65" t="s">
        <v>26</v>
      </c>
      <c r="C5" s="65" t="s">
        <v>99</v>
      </c>
      <c r="D5" s="65" t="s">
        <v>100</v>
      </c>
      <c r="E5" s="65" t="s">
        <v>45</v>
      </c>
    </row>
    <row r="8" spans="1:5">
      <c r="A8" s="65" t="s">
        <v>8</v>
      </c>
      <c r="C8" s="65" t="s">
        <v>101</v>
      </c>
    </row>
    <row r="9" spans="1:5">
      <c r="A9" s="65" t="s">
        <v>9</v>
      </c>
      <c r="C9" s="65" t="s">
        <v>102</v>
      </c>
    </row>
    <row r="10" spans="1:5">
      <c r="B10" s="65" t="s">
        <v>42</v>
      </c>
      <c r="C10" s="65" t="s">
        <v>103</v>
      </c>
    </row>
    <row r="11" spans="1:5">
      <c r="B11" s="65" t="s">
        <v>39</v>
      </c>
      <c r="C11" s="65" t="s">
        <v>103</v>
      </c>
    </row>
    <row r="12" spans="1:5">
      <c r="B12" s="65" t="s">
        <v>43</v>
      </c>
      <c r="C12" s="65" t="s">
        <v>104</v>
      </c>
    </row>
    <row r="13" spans="1:5">
      <c r="B13" s="65" t="s">
        <v>44</v>
      </c>
      <c r="C13" s="65" t="s">
        <v>105</v>
      </c>
      <c r="D13" s="65" t="s">
        <v>106</v>
      </c>
    </row>
    <row r="14" spans="1:5">
      <c r="D14" s="65" t="s">
        <v>107</v>
      </c>
    </row>
    <row r="15" spans="1:5">
      <c r="D15" s="65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8885B-E29F-44C5-83C3-CF21A06122B9}">
  <dimension ref="A1:E15"/>
  <sheetViews>
    <sheetView workbookViewId="0"/>
  </sheetViews>
  <sheetFormatPr defaultRowHeight="15"/>
  <sheetData>
    <row r="1" spans="1:5">
      <c r="A1" s="65" t="s">
        <v>109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97</v>
      </c>
    </row>
    <row r="4" spans="1:5">
      <c r="A4" s="65" t="s">
        <v>0</v>
      </c>
      <c r="B4" s="65" t="s">
        <v>6</v>
      </c>
      <c r="C4" s="65" t="s">
        <v>98</v>
      </c>
    </row>
    <row r="5" spans="1:5">
      <c r="A5" s="65" t="s">
        <v>0</v>
      </c>
      <c r="B5" s="65" t="s">
        <v>26</v>
      </c>
      <c r="C5" s="65" t="s">
        <v>99</v>
      </c>
      <c r="D5" s="65" t="s">
        <v>100</v>
      </c>
      <c r="E5" s="65" t="s">
        <v>45</v>
      </c>
    </row>
    <row r="8" spans="1:5">
      <c r="A8" s="65" t="s">
        <v>8</v>
      </c>
      <c r="C8" s="65" t="s">
        <v>101</v>
      </c>
    </row>
    <row r="9" spans="1:5">
      <c r="A9" s="65" t="s">
        <v>9</v>
      </c>
      <c r="C9" s="65" t="s">
        <v>102</v>
      </c>
    </row>
    <row r="10" spans="1:5">
      <c r="B10" s="65" t="s">
        <v>42</v>
      </c>
      <c r="C10" s="65" t="s">
        <v>103</v>
      </c>
    </row>
    <row r="11" spans="1:5">
      <c r="B11" s="65" t="s">
        <v>39</v>
      </c>
      <c r="C11" s="65" t="s">
        <v>103</v>
      </c>
    </row>
    <row r="12" spans="1:5">
      <c r="B12" s="65" t="s">
        <v>43</v>
      </c>
      <c r="C12" s="65" t="s">
        <v>104</v>
      </c>
    </row>
    <row r="13" spans="1:5">
      <c r="B13" s="65" t="s">
        <v>44</v>
      </c>
      <c r="C13" s="65" t="s">
        <v>105</v>
      </c>
      <c r="D13" s="65" t="s">
        <v>106</v>
      </c>
    </row>
    <row r="14" spans="1:5">
      <c r="D14" s="65" t="s">
        <v>107</v>
      </c>
    </row>
    <row r="15" spans="1:5">
      <c r="D15" s="65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35C11-C35C-44E9-8D95-87015537D6A3}">
  <dimension ref="A1:AR28"/>
  <sheetViews>
    <sheetView workbookViewId="0"/>
  </sheetViews>
  <sheetFormatPr defaultRowHeight="15"/>
  <sheetData>
    <row r="1" spans="1:44">
      <c r="A1" s="65" t="s">
        <v>190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51</v>
      </c>
      <c r="K1" s="65" t="s">
        <v>18</v>
      </c>
      <c r="L1" s="65" t="s">
        <v>18</v>
      </c>
      <c r="O1" s="65" t="s">
        <v>18</v>
      </c>
      <c r="Q1" s="65" t="s">
        <v>18</v>
      </c>
      <c r="R1" s="65" t="s">
        <v>18</v>
      </c>
      <c r="S1" s="65" t="s">
        <v>18</v>
      </c>
      <c r="T1" s="65" t="s">
        <v>18</v>
      </c>
      <c r="U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B1" s="65" t="s">
        <v>18</v>
      </c>
      <c r="AI1" s="65" t="s">
        <v>18</v>
      </c>
      <c r="AJ1" s="65" t="s">
        <v>18</v>
      </c>
      <c r="AQ1" s="65" t="s">
        <v>7</v>
      </c>
      <c r="AR1" s="65" t="s">
        <v>7</v>
      </c>
    </row>
    <row r="2" spans="1:44">
      <c r="A2" s="65" t="s">
        <v>7</v>
      </c>
      <c r="D2" s="65" t="s">
        <v>19</v>
      </c>
      <c r="E2" s="65" t="s">
        <v>110</v>
      </c>
    </row>
    <row r="3" spans="1:44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4">
      <c r="A4" s="65" t="s">
        <v>7</v>
      </c>
      <c r="C4" s="65" t="s">
        <v>11</v>
      </c>
      <c r="D4" s="65" t="s">
        <v>111</v>
      </c>
      <c r="E4" s="65" t="s">
        <v>112</v>
      </c>
      <c r="F4" s="65" t="s">
        <v>96</v>
      </c>
      <c r="G4" s="65" t="s">
        <v>25</v>
      </c>
      <c r="H4" s="65" t="s">
        <v>113</v>
      </c>
    </row>
    <row r="5" spans="1:44">
      <c r="A5" s="65" t="s">
        <v>7</v>
      </c>
      <c r="C5" s="65" t="s">
        <v>10</v>
      </c>
      <c r="D5" s="65" t="s">
        <v>114</v>
      </c>
      <c r="E5" s="65" t="s">
        <v>115</v>
      </c>
      <c r="F5" s="65" t="s">
        <v>96</v>
      </c>
      <c r="G5" s="65" t="s">
        <v>25</v>
      </c>
      <c r="H5" s="65" t="s">
        <v>113</v>
      </c>
      <c r="I5" s="65" t="s">
        <v>116</v>
      </c>
    </row>
    <row r="6" spans="1:44">
      <c r="A6" s="65" t="s">
        <v>7</v>
      </c>
      <c r="C6" s="65" t="s">
        <v>41</v>
      </c>
      <c r="D6" s="65" t="s">
        <v>117</v>
      </c>
      <c r="E6" s="65" t="s">
        <v>118</v>
      </c>
      <c r="F6" s="65" t="s">
        <v>96</v>
      </c>
      <c r="G6" s="65" t="s">
        <v>25</v>
      </c>
      <c r="H6" s="65" t="s">
        <v>113</v>
      </c>
      <c r="I6" s="65" t="s">
        <v>119</v>
      </c>
    </row>
    <row r="7" spans="1:44">
      <c r="A7" s="65" t="s">
        <v>7</v>
      </c>
    </row>
    <row r="8" spans="1:44">
      <c r="A8" s="65" t="s">
        <v>7</v>
      </c>
    </row>
    <row r="9" spans="1:44">
      <c r="A9" s="65" t="s">
        <v>7</v>
      </c>
    </row>
    <row r="10" spans="1:44">
      <c r="A10" s="65" t="s">
        <v>7</v>
      </c>
    </row>
    <row r="11" spans="1:44">
      <c r="A11" s="65" t="s">
        <v>7</v>
      </c>
      <c r="C11" s="65" t="s">
        <v>27</v>
      </c>
      <c r="E11" s="65" t="s">
        <v>120</v>
      </c>
    </row>
    <row r="12" spans="1:44">
      <c r="A12" s="65" t="s">
        <v>7</v>
      </c>
      <c r="C12" s="65" t="s">
        <v>28</v>
      </c>
      <c r="E12" s="65" t="s">
        <v>121</v>
      </c>
    </row>
    <row r="13" spans="1:44">
      <c r="A13" s="65" t="s">
        <v>7</v>
      </c>
      <c r="C13" s="65" t="s">
        <v>42</v>
      </c>
      <c r="E13" s="65" t="s">
        <v>122</v>
      </c>
    </row>
    <row r="14" spans="1:44">
      <c r="A14" s="65" t="s">
        <v>7</v>
      </c>
      <c r="C14" s="65" t="s">
        <v>39</v>
      </c>
      <c r="E14" s="65" t="s">
        <v>123</v>
      </c>
    </row>
    <row r="15" spans="1:44">
      <c r="A15" s="65" t="s">
        <v>7</v>
      </c>
      <c r="C15" s="65" t="s">
        <v>43</v>
      </c>
      <c r="E15" s="65" t="s">
        <v>124</v>
      </c>
    </row>
    <row r="16" spans="1:44">
      <c r="A16" s="65" t="s">
        <v>7</v>
      </c>
      <c r="C16" s="65" t="s">
        <v>44</v>
      </c>
      <c r="E16" s="65" t="s">
        <v>125</v>
      </c>
    </row>
    <row r="17" spans="1:42">
      <c r="A17" s="65" t="s">
        <v>7</v>
      </c>
    </row>
    <row r="18" spans="1:42">
      <c r="A18" s="65" t="s">
        <v>7</v>
      </c>
    </row>
    <row r="21" spans="1:42">
      <c r="K21" s="65" t="s">
        <v>53</v>
      </c>
    </row>
    <row r="23" spans="1:42">
      <c r="E23" s="65" t="s">
        <v>29</v>
      </c>
      <c r="K23" s="65" t="s">
        <v>75</v>
      </c>
      <c r="L23" s="65" t="s">
        <v>76</v>
      </c>
      <c r="M23" s="65" t="s">
        <v>14</v>
      </c>
      <c r="N23" s="65" t="s">
        <v>16</v>
      </c>
      <c r="O23" s="65" t="s">
        <v>30</v>
      </c>
      <c r="P23" s="65" t="s">
        <v>33</v>
      </c>
      <c r="Q23" s="65" t="s">
        <v>77</v>
      </c>
      <c r="R23" s="65" t="s">
        <v>31</v>
      </c>
      <c r="S23" s="65" t="s">
        <v>38</v>
      </c>
      <c r="T23" s="65" t="s">
        <v>34</v>
      </c>
      <c r="U23" s="65" t="s">
        <v>17</v>
      </c>
      <c r="V23" s="65" t="s">
        <v>79</v>
      </c>
      <c r="W23" s="65" t="s">
        <v>80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37</v>
      </c>
      <c r="AC23" s="65" t="s">
        <v>56</v>
      </c>
      <c r="AD23" s="65" t="s">
        <v>57</v>
      </c>
      <c r="AE23" s="65" t="s">
        <v>81</v>
      </c>
      <c r="AF23" s="65" t="s">
        <v>82</v>
      </c>
      <c r="AG23" s="65" t="s">
        <v>83</v>
      </c>
      <c r="AH23" s="65" t="s">
        <v>84</v>
      </c>
      <c r="AI23" s="65" t="s">
        <v>85</v>
      </c>
      <c r="AJ23" s="65" t="s">
        <v>86</v>
      </c>
      <c r="AK23" s="65" t="s">
        <v>87</v>
      </c>
      <c r="AL23" s="65" t="s">
        <v>88</v>
      </c>
      <c r="AM23" s="65" t="s">
        <v>89</v>
      </c>
      <c r="AN23" s="65" t="s">
        <v>90</v>
      </c>
      <c r="AO23" s="65" t="s">
        <v>91</v>
      </c>
      <c r="AP23" s="65" t="s">
        <v>92</v>
      </c>
    </row>
    <row r="24" spans="1:42">
      <c r="B24" s="65" t="s">
        <v>126</v>
      </c>
      <c r="C24" s="65" t="s">
        <v>48</v>
      </c>
      <c r="E24" s="65" t="s">
        <v>127</v>
      </c>
      <c r="K24" s="65" t="s">
        <v>128</v>
      </c>
      <c r="L24" s="65" t="s">
        <v>129</v>
      </c>
      <c r="M24" s="65" t="s">
        <v>130</v>
      </c>
      <c r="N24" s="65" t="s">
        <v>131</v>
      </c>
      <c r="O24" s="65" t="s">
        <v>132</v>
      </c>
      <c r="P24" s="65" t="s">
        <v>133</v>
      </c>
      <c r="Q24" s="65" t="s">
        <v>78</v>
      </c>
      <c r="R24" s="65" t="s">
        <v>134</v>
      </c>
      <c r="S24" s="65" t="s">
        <v>135</v>
      </c>
      <c r="T24" s="65" t="s">
        <v>136</v>
      </c>
      <c r="U24" s="65" t="s">
        <v>137</v>
      </c>
      <c r="V24" s="65" t="s">
        <v>138</v>
      </c>
      <c r="W24" s="65" t="s">
        <v>139</v>
      </c>
      <c r="X24" s="65" t="s">
        <v>140</v>
      </c>
      <c r="Y24" s="65" t="s">
        <v>141</v>
      </c>
      <c r="Z24" s="65" t="s">
        <v>142</v>
      </c>
      <c r="AA24" s="65" t="s">
        <v>143</v>
      </c>
      <c r="AB24" s="65" t="s">
        <v>144</v>
      </c>
      <c r="AC24" s="65" t="s">
        <v>145</v>
      </c>
      <c r="AD24" s="65" t="s">
        <v>146</v>
      </c>
      <c r="AE24" s="65" t="s">
        <v>147</v>
      </c>
      <c r="AF24" s="65" t="s">
        <v>146</v>
      </c>
      <c r="AG24" s="65" t="s">
        <v>93</v>
      </c>
      <c r="AH24" s="65" t="s">
        <v>148</v>
      </c>
      <c r="AI24" s="65" t="s">
        <v>78</v>
      </c>
      <c r="AJ24" s="65" t="s">
        <v>94</v>
      </c>
      <c r="AK24" s="65" t="s">
        <v>140</v>
      </c>
      <c r="AL24" s="65" t="s">
        <v>141</v>
      </c>
      <c r="AM24" s="65" t="s">
        <v>149</v>
      </c>
      <c r="AN24" s="65" t="s">
        <v>150</v>
      </c>
      <c r="AO24" s="65" t="s">
        <v>151</v>
      </c>
      <c r="AP24" s="65" t="s">
        <v>152</v>
      </c>
    </row>
    <row r="25" spans="1:42">
      <c r="B25" s="65" t="s">
        <v>153</v>
      </c>
      <c r="C25" s="65" t="s">
        <v>49</v>
      </c>
      <c r="E25" s="65" t="s">
        <v>154</v>
      </c>
      <c r="K25" s="65" t="s">
        <v>155</v>
      </c>
      <c r="L25" s="65" t="s">
        <v>156</v>
      </c>
      <c r="O25" s="65" t="s">
        <v>157</v>
      </c>
      <c r="Q25" s="65" t="s">
        <v>158</v>
      </c>
      <c r="R25" s="65" t="s">
        <v>159</v>
      </c>
      <c r="S25" s="65" t="s">
        <v>160</v>
      </c>
      <c r="T25" s="65" t="s">
        <v>161</v>
      </c>
      <c r="U25" s="65" t="s">
        <v>78</v>
      </c>
      <c r="X25" s="65" t="s">
        <v>160</v>
      </c>
      <c r="Y25" s="65" t="s">
        <v>162</v>
      </c>
      <c r="Z25" s="65" t="s">
        <v>163</v>
      </c>
      <c r="AA25" s="65" t="s">
        <v>164</v>
      </c>
      <c r="AB25" s="65" t="s">
        <v>165</v>
      </c>
      <c r="AC25" s="65" t="s">
        <v>166</v>
      </c>
      <c r="AD25" s="65" t="s">
        <v>167</v>
      </c>
      <c r="AH25" s="65" t="s">
        <v>168</v>
      </c>
      <c r="AI25" s="65" t="s">
        <v>169</v>
      </c>
      <c r="AJ25" s="65" t="s">
        <v>170</v>
      </c>
    </row>
    <row r="26" spans="1:42">
      <c r="B26" s="65" t="s">
        <v>171</v>
      </c>
      <c r="C26" s="65" t="s">
        <v>50</v>
      </c>
      <c r="E26" s="65" t="s">
        <v>172</v>
      </c>
      <c r="K26" s="65" t="s">
        <v>173</v>
      </c>
      <c r="L26" s="65" t="s">
        <v>174</v>
      </c>
      <c r="O26" s="65" t="s">
        <v>175</v>
      </c>
      <c r="Q26" s="65" t="s">
        <v>176</v>
      </c>
      <c r="R26" s="65" t="s">
        <v>177</v>
      </c>
      <c r="S26" s="65" t="s">
        <v>178</v>
      </c>
      <c r="T26" s="65" t="s">
        <v>179</v>
      </c>
      <c r="U26" s="65" t="s">
        <v>78</v>
      </c>
      <c r="X26" s="65" t="s">
        <v>178</v>
      </c>
      <c r="Y26" s="65" t="s">
        <v>180</v>
      </c>
      <c r="Z26" s="65" t="s">
        <v>181</v>
      </c>
      <c r="AA26" s="65" t="s">
        <v>182</v>
      </c>
      <c r="AB26" s="65" t="s">
        <v>183</v>
      </c>
      <c r="AC26" s="65" t="s">
        <v>184</v>
      </c>
      <c r="AD26" s="65" t="s">
        <v>185</v>
      </c>
      <c r="AI26" s="65" t="s">
        <v>186</v>
      </c>
      <c r="AJ26" s="65" t="s">
        <v>187</v>
      </c>
    </row>
    <row r="28" spans="1:42">
      <c r="AC28" s="65" t="s">
        <v>188</v>
      </c>
      <c r="AD28" s="65" t="s">
        <v>189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7652B-1AF8-42D4-9928-0C0D1C6159FA}">
  <dimension ref="A1:AR28"/>
  <sheetViews>
    <sheetView workbookViewId="0"/>
  </sheetViews>
  <sheetFormatPr defaultRowHeight="15"/>
  <sheetData>
    <row r="1" spans="1:44">
      <c r="A1" s="65" t="s">
        <v>190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51</v>
      </c>
      <c r="K1" s="65" t="s">
        <v>18</v>
      </c>
      <c r="L1" s="65" t="s">
        <v>18</v>
      </c>
      <c r="O1" s="65" t="s">
        <v>18</v>
      </c>
      <c r="Q1" s="65" t="s">
        <v>18</v>
      </c>
      <c r="R1" s="65" t="s">
        <v>18</v>
      </c>
      <c r="S1" s="65" t="s">
        <v>18</v>
      </c>
      <c r="T1" s="65" t="s">
        <v>18</v>
      </c>
      <c r="U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B1" s="65" t="s">
        <v>18</v>
      </c>
      <c r="AI1" s="65" t="s">
        <v>18</v>
      </c>
      <c r="AJ1" s="65" t="s">
        <v>18</v>
      </c>
      <c r="AQ1" s="65" t="s">
        <v>7</v>
      </c>
      <c r="AR1" s="65" t="s">
        <v>7</v>
      </c>
    </row>
    <row r="2" spans="1:44">
      <c r="A2" s="65" t="s">
        <v>7</v>
      </c>
      <c r="D2" s="65" t="s">
        <v>19</v>
      </c>
      <c r="E2" s="65" t="s">
        <v>110</v>
      </c>
    </row>
    <row r="3" spans="1:44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4">
      <c r="A4" s="65" t="s">
        <v>7</v>
      </c>
      <c r="C4" s="65" t="s">
        <v>11</v>
      </c>
      <c r="D4" s="65" t="s">
        <v>111</v>
      </c>
      <c r="E4" s="65" t="s">
        <v>112</v>
      </c>
      <c r="F4" s="65" t="s">
        <v>96</v>
      </c>
      <c r="G4" s="65" t="s">
        <v>25</v>
      </c>
      <c r="H4" s="65" t="s">
        <v>113</v>
      </c>
    </row>
    <row r="5" spans="1:44">
      <c r="A5" s="65" t="s">
        <v>7</v>
      </c>
      <c r="C5" s="65" t="s">
        <v>10</v>
      </c>
      <c r="D5" s="65" t="s">
        <v>114</v>
      </c>
      <c r="E5" s="65" t="s">
        <v>115</v>
      </c>
      <c r="F5" s="65" t="s">
        <v>96</v>
      </c>
      <c r="G5" s="65" t="s">
        <v>25</v>
      </c>
      <c r="H5" s="65" t="s">
        <v>113</v>
      </c>
      <c r="I5" s="65" t="s">
        <v>116</v>
      </c>
    </row>
    <row r="6" spans="1:44">
      <c r="A6" s="65" t="s">
        <v>7</v>
      </c>
      <c r="C6" s="65" t="s">
        <v>41</v>
      </c>
      <c r="D6" s="65" t="s">
        <v>117</v>
      </c>
      <c r="E6" s="65" t="s">
        <v>118</v>
      </c>
      <c r="F6" s="65" t="s">
        <v>96</v>
      </c>
      <c r="G6" s="65" t="s">
        <v>25</v>
      </c>
      <c r="H6" s="65" t="s">
        <v>113</v>
      </c>
      <c r="I6" s="65" t="s">
        <v>119</v>
      </c>
    </row>
    <row r="7" spans="1:44">
      <c r="A7" s="65" t="s">
        <v>7</v>
      </c>
    </row>
    <row r="8" spans="1:44">
      <c r="A8" s="65" t="s">
        <v>7</v>
      </c>
    </row>
    <row r="9" spans="1:44">
      <c r="A9" s="65" t="s">
        <v>7</v>
      </c>
    </row>
    <row r="10" spans="1:44">
      <c r="A10" s="65" t="s">
        <v>7</v>
      </c>
    </row>
    <row r="11" spans="1:44">
      <c r="A11" s="65" t="s">
        <v>7</v>
      </c>
      <c r="C11" s="65" t="s">
        <v>27</v>
      </c>
      <c r="E11" s="65" t="s">
        <v>120</v>
      </c>
    </row>
    <row r="12" spans="1:44">
      <c r="A12" s="65" t="s">
        <v>7</v>
      </c>
      <c r="C12" s="65" t="s">
        <v>28</v>
      </c>
      <c r="E12" s="65" t="s">
        <v>121</v>
      </c>
    </row>
    <row r="13" spans="1:44">
      <c r="A13" s="65" t="s">
        <v>7</v>
      </c>
      <c r="C13" s="65" t="s">
        <v>42</v>
      </c>
      <c r="E13" s="65" t="s">
        <v>122</v>
      </c>
    </row>
    <row r="14" spans="1:44">
      <c r="A14" s="65" t="s">
        <v>7</v>
      </c>
      <c r="C14" s="65" t="s">
        <v>39</v>
      </c>
      <c r="E14" s="65" t="s">
        <v>123</v>
      </c>
    </row>
    <row r="15" spans="1:44">
      <c r="A15" s="65" t="s">
        <v>7</v>
      </c>
      <c r="C15" s="65" t="s">
        <v>43</v>
      </c>
      <c r="E15" s="65" t="s">
        <v>124</v>
      </c>
    </row>
    <row r="16" spans="1:44">
      <c r="A16" s="65" t="s">
        <v>7</v>
      </c>
      <c r="C16" s="65" t="s">
        <v>44</v>
      </c>
      <c r="E16" s="65" t="s">
        <v>125</v>
      </c>
    </row>
    <row r="17" spans="1:42">
      <c r="A17" s="65" t="s">
        <v>7</v>
      </c>
    </row>
    <row r="18" spans="1:42">
      <c r="A18" s="65" t="s">
        <v>7</v>
      </c>
    </row>
    <row r="21" spans="1:42">
      <c r="K21" s="65" t="s">
        <v>53</v>
      </c>
    </row>
    <row r="23" spans="1:42">
      <c r="E23" s="65" t="s">
        <v>29</v>
      </c>
      <c r="K23" s="65" t="s">
        <v>75</v>
      </c>
      <c r="L23" s="65" t="s">
        <v>76</v>
      </c>
      <c r="M23" s="65" t="s">
        <v>14</v>
      </c>
      <c r="N23" s="65" t="s">
        <v>16</v>
      </c>
      <c r="O23" s="65" t="s">
        <v>30</v>
      </c>
      <c r="P23" s="65" t="s">
        <v>33</v>
      </c>
      <c r="Q23" s="65" t="s">
        <v>77</v>
      </c>
      <c r="R23" s="65" t="s">
        <v>31</v>
      </c>
      <c r="S23" s="65" t="s">
        <v>38</v>
      </c>
      <c r="T23" s="65" t="s">
        <v>34</v>
      </c>
      <c r="U23" s="65" t="s">
        <v>17</v>
      </c>
      <c r="V23" s="65" t="s">
        <v>79</v>
      </c>
      <c r="W23" s="65" t="s">
        <v>80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37</v>
      </c>
      <c r="AC23" s="65" t="s">
        <v>56</v>
      </c>
      <c r="AD23" s="65" t="s">
        <v>57</v>
      </c>
      <c r="AE23" s="65" t="s">
        <v>81</v>
      </c>
      <c r="AF23" s="65" t="s">
        <v>82</v>
      </c>
      <c r="AG23" s="65" t="s">
        <v>83</v>
      </c>
      <c r="AH23" s="65" t="s">
        <v>84</v>
      </c>
      <c r="AI23" s="65" t="s">
        <v>85</v>
      </c>
      <c r="AJ23" s="65" t="s">
        <v>86</v>
      </c>
      <c r="AK23" s="65" t="s">
        <v>87</v>
      </c>
      <c r="AL23" s="65" t="s">
        <v>88</v>
      </c>
      <c r="AM23" s="65" t="s">
        <v>89</v>
      </c>
      <c r="AN23" s="65" t="s">
        <v>90</v>
      </c>
      <c r="AO23" s="65" t="s">
        <v>91</v>
      </c>
      <c r="AP23" s="65" t="s">
        <v>92</v>
      </c>
    </row>
    <row r="24" spans="1:42">
      <c r="B24" s="65" t="s">
        <v>126</v>
      </c>
      <c r="C24" s="65" t="s">
        <v>48</v>
      </c>
      <c r="E24" s="65" t="s">
        <v>127</v>
      </c>
      <c r="K24" s="65" t="s">
        <v>128</v>
      </c>
      <c r="L24" s="65" t="s">
        <v>129</v>
      </c>
      <c r="M24" s="65" t="s">
        <v>130</v>
      </c>
      <c r="N24" s="65" t="s">
        <v>131</v>
      </c>
      <c r="O24" s="65" t="s">
        <v>132</v>
      </c>
      <c r="P24" s="65" t="s">
        <v>133</v>
      </c>
      <c r="Q24" s="65" t="s">
        <v>78</v>
      </c>
      <c r="R24" s="65" t="s">
        <v>134</v>
      </c>
      <c r="S24" s="65" t="s">
        <v>135</v>
      </c>
      <c r="T24" s="65" t="s">
        <v>136</v>
      </c>
      <c r="U24" s="65" t="s">
        <v>137</v>
      </c>
      <c r="V24" s="65" t="s">
        <v>138</v>
      </c>
      <c r="W24" s="65" t="s">
        <v>139</v>
      </c>
      <c r="X24" s="65" t="s">
        <v>140</v>
      </c>
      <c r="Y24" s="65" t="s">
        <v>141</v>
      </c>
      <c r="Z24" s="65" t="s">
        <v>142</v>
      </c>
      <c r="AA24" s="65" t="s">
        <v>143</v>
      </c>
      <c r="AB24" s="65" t="s">
        <v>144</v>
      </c>
      <c r="AC24" s="65" t="s">
        <v>145</v>
      </c>
      <c r="AD24" s="65" t="s">
        <v>146</v>
      </c>
      <c r="AE24" s="65" t="s">
        <v>147</v>
      </c>
      <c r="AF24" s="65" t="s">
        <v>146</v>
      </c>
      <c r="AG24" s="65" t="s">
        <v>93</v>
      </c>
      <c r="AH24" s="65" t="s">
        <v>148</v>
      </c>
      <c r="AI24" s="65" t="s">
        <v>78</v>
      </c>
      <c r="AJ24" s="65" t="s">
        <v>94</v>
      </c>
      <c r="AK24" s="65" t="s">
        <v>140</v>
      </c>
      <c r="AL24" s="65" t="s">
        <v>141</v>
      </c>
      <c r="AM24" s="65" t="s">
        <v>149</v>
      </c>
      <c r="AN24" s="65" t="s">
        <v>150</v>
      </c>
      <c r="AO24" s="65" t="s">
        <v>151</v>
      </c>
      <c r="AP24" s="65" t="s">
        <v>152</v>
      </c>
    </row>
    <row r="25" spans="1:42">
      <c r="B25" s="65" t="s">
        <v>153</v>
      </c>
      <c r="C25" s="65" t="s">
        <v>49</v>
      </c>
      <c r="E25" s="65" t="s">
        <v>154</v>
      </c>
      <c r="K25" s="65" t="s">
        <v>155</v>
      </c>
      <c r="L25" s="65" t="s">
        <v>156</v>
      </c>
      <c r="O25" s="65" t="s">
        <v>157</v>
      </c>
      <c r="Q25" s="65" t="s">
        <v>158</v>
      </c>
      <c r="R25" s="65" t="s">
        <v>159</v>
      </c>
      <c r="S25" s="65" t="s">
        <v>160</v>
      </c>
      <c r="T25" s="65" t="s">
        <v>161</v>
      </c>
      <c r="U25" s="65" t="s">
        <v>78</v>
      </c>
      <c r="X25" s="65" t="s">
        <v>160</v>
      </c>
      <c r="Y25" s="65" t="s">
        <v>162</v>
      </c>
      <c r="Z25" s="65" t="s">
        <v>163</v>
      </c>
      <c r="AA25" s="65" t="s">
        <v>164</v>
      </c>
      <c r="AB25" s="65" t="s">
        <v>165</v>
      </c>
      <c r="AC25" s="65" t="s">
        <v>166</v>
      </c>
      <c r="AD25" s="65" t="s">
        <v>167</v>
      </c>
      <c r="AH25" s="65" t="s">
        <v>168</v>
      </c>
      <c r="AI25" s="65" t="s">
        <v>169</v>
      </c>
      <c r="AJ25" s="65" t="s">
        <v>170</v>
      </c>
    </row>
    <row r="26" spans="1:42">
      <c r="B26" s="65" t="s">
        <v>171</v>
      </c>
      <c r="C26" s="65" t="s">
        <v>50</v>
      </c>
      <c r="E26" s="65" t="s">
        <v>172</v>
      </c>
      <c r="K26" s="65" t="s">
        <v>173</v>
      </c>
      <c r="L26" s="65" t="s">
        <v>174</v>
      </c>
      <c r="O26" s="65" t="s">
        <v>175</v>
      </c>
      <c r="Q26" s="65" t="s">
        <v>176</v>
      </c>
      <c r="R26" s="65" t="s">
        <v>177</v>
      </c>
      <c r="S26" s="65" t="s">
        <v>178</v>
      </c>
      <c r="T26" s="65" t="s">
        <v>179</v>
      </c>
      <c r="U26" s="65" t="s">
        <v>78</v>
      </c>
      <c r="X26" s="65" t="s">
        <v>178</v>
      </c>
      <c r="Y26" s="65" t="s">
        <v>180</v>
      </c>
      <c r="Z26" s="65" t="s">
        <v>181</v>
      </c>
      <c r="AA26" s="65" t="s">
        <v>182</v>
      </c>
      <c r="AB26" s="65" t="s">
        <v>183</v>
      </c>
      <c r="AC26" s="65" t="s">
        <v>184</v>
      </c>
      <c r="AD26" s="65" t="s">
        <v>185</v>
      </c>
      <c r="AI26" s="65" t="s">
        <v>186</v>
      </c>
      <c r="AJ26" s="65" t="s">
        <v>187</v>
      </c>
    </row>
    <row r="28" spans="1:42">
      <c r="AC28" s="65" t="s">
        <v>188</v>
      </c>
      <c r="AD28" s="65" t="s">
        <v>189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E255B-5B09-406C-9C52-C88A3A9A34DE}">
  <dimension ref="A1:E15"/>
  <sheetViews>
    <sheetView workbookViewId="0"/>
  </sheetViews>
  <sheetFormatPr defaultRowHeight="15"/>
  <sheetData>
    <row r="1" spans="1:5">
      <c r="A1" s="65" t="s">
        <v>193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97</v>
      </c>
    </row>
    <row r="4" spans="1:5">
      <c r="A4" s="65" t="s">
        <v>0</v>
      </c>
      <c r="B4" s="65" t="s">
        <v>6</v>
      </c>
      <c r="C4" s="65" t="s">
        <v>98</v>
      </c>
    </row>
    <row r="5" spans="1:5">
      <c r="A5" s="65" t="s">
        <v>0</v>
      </c>
      <c r="B5" s="65" t="s">
        <v>26</v>
      </c>
      <c r="C5" s="65" t="s">
        <v>99</v>
      </c>
      <c r="D5" s="65" t="s">
        <v>100</v>
      </c>
      <c r="E5" s="65" t="s">
        <v>45</v>
      </c>
    </row>
    <row r="8" spans="1:5">
      <c r="A8" s="65" t="s">
        <v>8</v>
      </c>
      <c r="C8" s="65" t="s">
        <v>101</v>
      </c>
    </row>
    <row r="9" spans="1:5">
      <c r="A9" s="65" t="s">
        <v>9</v>
      </c>
      <c r="C9" s="65" t="s">
        <v>102</v>
      </c>
    </row>
    <row r="10" spans="1:5">
      <c r="B10" s="65" t="s">
        <v>42</v>
      </c>
      <c r="C10" s="65" t="s">
        <v>103</v>
      </c>
    </row>
    <row r="11" spans="1:5">
      <c r="B11" s="65" t="s">
        <v>39</v>
      </c>
      <c r="C11" s="65" t="s">
        <v>103</v>
      </c>
    </row>
    <row r="12" spans="1:5">
      <c r="B12" s="65" t="s">
        <v>43</v>
      </c>
      <c r="C12" s="65" t="s">
        <v>104</v>
      </c>
    </row>
    <row r="13" spans="1:5">
      <c r="B13" s="65" t="s">
        <v>44</v>
      </c>
      <c r="C13" s="65" t="s">
        <v>105</v>
      </c>
      <c r="D13" s="65" t="s">
        <v>106</v>
      </c>
    </row>
    <row r="14" spans="1:5">
      <c r="D14" s="65" t="s">
        <v>107</v>
      </c>
    </row>
    <row r="15" spans="1:5">
      <c r="D15" s="65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2024-02-05T03:56:50Z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