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U:\HOME\COMMON\Website Documents\MOHH-SYNAPXE\"/>
    </mc:Choice>
  </mc:AlternateContent>
  <xr:revisionPtr revIDLastSave="0" documentId="8_{3DF809D0-9BC5-409F-9D50-6DBD65F03C5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3" sheetId="150" state="veryHidden" r:id="rId5"/>
    <sheet name="Sheet4" sheetId="151" state="veryHidden" r:id="rId6"/>
    <sheet name="Sheet5" sheetId="152" state="veryHidden" r:id="rId7"/>
    <sheet name="Sheet6" sheetId="153" state="veryHidden" r:id="rId8"/>
    <sheet name="Sheet7" sheetId="156" state="veryHidden" r:id="rId9"/>
    <sheet name="Sheet8" sheetId="157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Q24" i="2"/>
  <c r="R24" i="2"/>
  <c r="S24" i="2"/>
  <c r="U24" i="2"/>
  <c r="W24" i="2"/>
  <c r="X24" i="2"/>
  <c r="Y24" i="2"/>
  <c r="Z24" i="2"/>
  <c r="AB24" i="2"/>
  <c r="AC24" i="2"/>
  <c r="AE24" i="2"/>
  <c r="AH24" i="2"/>
  <c r="AK24" i="2"/>
  <c r="AL24" i="2"/>
  <c r="AP24" i="2"/>
  <c r="E25" i="2"/>
  <c r="K25" i="2"/>
  <c r="L25" i="2"/>
  <c r="O25" i="2"/>
  <c r="P25" i="2"/>
  <c r="Q25" i="2"/>
  <c r="R25" i="2"/>
  <c r="S25" i="2"/>
  <c r="U25" i="2"/>
  <c r="W25" i="2"/>
  <c r="X25" i="2"/>
  <c r="Y25" i="2"/>
  <c r="Z25" i="2"/>
  <c r="AB25" i="2"/>
  <c r="AC25" i="2"/>
  <c r="AE25" i="2"/>
  <c r="AH25" i="2"/>
  <c r="AK25" i="2"/>
  <c r="AL25" i="2"/>
  <c r="AP25" i="2"/>
  <c r="E26" i="2"/>
  <c r="K26" i="2"/>
  <c r="L26" i="2"/>
  <c r="O26" i="2"/>
  <c r="P26" i="2"/>
  <c r="Q26" i="2"/>
  <c r="R26" i="2"/>
  <c r="S26" i="2"/>
  <c r="U26" i="2"/>
  <c r="W26" i="2"/>
  <c r="X26" i="2"/>
  <c r="Y26" i="2"/>
  <c r="Z26" i="2"/>
  <c r="AB26" i="2"/>
  <c r="AC26" i="2"/>
  <c r="AE26" i="2"/>
  <c r="AH26" i="2"/>
  <c r="AK26" i="2"/>
  <c r="AL26" i="2"/>
  <c r="AP26" i="2"/>
  <c r="E27" i="2"/>
  <c r="K27" i="2"/>
  <c r="L27" i="2"/>
  <c r="O27" i="2"/>
  <c r="P27" i="2"/>
  <c r="Q27" i="2"/>
  <c r="R27" i="2"/>
  <c r="S27" i="2"/>
  <c r="U27" i="2"/>
  <c r="W27" i="2"/>
  <c r="X27" i="2"/>
  <c r="Y27" i="2"/>
  <c r="Z27" i="2"/>
  <c r="AB27" i="2"/>
  <c r="AC27" i="2"/>
  <c r="AE27" i="2"/>
  <c r="AH27" i="2"/>
  <c r="AK27" i="2"/>
  <c r="AL27" i="2"/>
  <c r="AP27" i="2"/>
  <c r="E28" i="2"/>
  <c r="K28" i="2"/>
  <c r="L28" i="2"/>
  <c r="O28" i="2"/>
  <c r="P28" i="2"/>
  <c r="Q28" i="2"/>
  <c r="R28" i="2"/>
  <c r="S28" i="2"/>
  <c r="U28" i="2"/>
  <c r="W28" i="2"/>
  <c r="X28" i="2"/>
  <c r="Y28" i="2"/>
  <c r="Z28" i="2"/>
  <c r="AB28" i="2"/>
  <c r="AC28" i="2"/>
  <c r="AE28" i="2"/>
  <c r="AH28" i="2"/>
  <c r="AK28" i="2"/>
  <c r="AL28" i="2"/>
  <c r="AP28" i="2"/>
  <c r="E29" i="2"/>
  <c r="K29" i="2"/>
  <c r="L29" i="2"/>
  <c r="O29" i="2"/>
  <c r="P29" i="2"/>
  <c r="Q29" i="2"/>
  <c r="R29" i="2"/>
  <c r="S29" i="2"/>
  <c r="U29" i="2"/>
  <c r="W29" i="2"/>
  <c r="X29" i="2"/>
  <c r="Y29" i="2"/>
  <c r="Z29" i="2"/>
  <c r="AB29" i="2"/>
  <c r="AC29" i="2"/>
  <c r="AE29" i="2"/>
  <c r="AH29" i="2"/>
  <c r="AK29" i="2"/>
  <c r="AL29" i="2"/>
  <c r="AP29" i="2"/>
  <c r="E30" i="2"/>
  <c r="K30" i="2"/>
  <c r="L30" i="2"/>
  <c r="O30" i="2"/>
  <c r="P30" i="2"/>
  <c r="Q30" i="2"/>
  <c r="R30" i="2"/>
  <c r="S30" i="2"/>
  <c r="U30" i="2"/>
  <c r="W30" i="2"/>
  <c r="X30" i="2"/>
  <c r="Y30" i="2"/>
  <c r="Z30" i="2"/>
  <c r="AB30" i="2"/>
  <c r="AC30" i="2"/>
  <c r="AE30" i="2"/>
  <c r="AH30" i="2"/>
  <c r="AK30" i="2"/>
  <c r="AL30" i="2"/>
  <c r="AP30" i="2"/>
  <c r="E31" i="2"/>
  <c r="M31" i="2"/>
  <c r="N31" i="2"/>
  <c r="O31" i="2"/>
  <c r="Q31" i="2"/>
  <c r="R31" i="2"/>
  <c r="T31" i="2"/>
  <c r="U31" i="2"/>
  <c r="X31" i="2"/>
  <c r="Y31" i="2"/>
  <c r="Z31" i="2"/>
  <c r="AA31" i="2"/>
  <c r="AB31" i="2"/>
  <c r="AD31" i="2"/>
  <c r="AC31" i="2" s="1"/>
  <c r="AH31" i="2"/>
  <c r="AL31" i="2"/>
  <c r="AM31" i="2"/>
  <c r="E32" i="2"/>
  <c r="M32" i="2"/>
  <c r="N32" i="2"/>
  <c r="O32" i="2"/>
  <c r="Q32" i="2"/>
  <c r="R32" i="2"/>
  <c r="T32" i="2"/>
  <c r="U32" i="2"/>
  <c r="X32" i="2"/>
  <c r="Y32" i="2"/>
  <c r="Z32" i="2"/>
  <c r="AA32" i="2"/>
  <c r="AB32" i="2"/>
  <c r="AD32" i="2"/>
  <c r="AL32" i="2"/>
  <c r="AM32" i="2"/>
  <c r="D5" i="1"/>
  <c r="B30" i="2"/>
  <c r="B29" i="2"/>
  <c r="B28" i="2"/>
  <c r="B27" i="2"/>
  <c r="B26" i="2"/>
  <c r="B25" i="2"/>
  <c r="E15" i="2"/>
  <c r="H6" i="2"/>
  <c r="H5" i="2"/>
  <c r="H4" i="2"/>
  <c r="E2" i="2"/>
  <c r="D13" i="1"/>
  <c r="C13" i="1" s="1"/>
  <c r="E16" i="2" s="1"/>
  <c r="C12" i="1"/>
  <c r="C11" i="1"/>
  <c r="E14" i="2" s="1"/>
  <c r="C10" i="1"/>
  <c r="E13" i="2" s="1"/>
  <c r="C5" i="1"/>
  <c r="E12" i="2" s="1"/>
  <c r="C4" i="1"/>
  <c r="C3" i="1"/>
  <c r="C9" i="1" s="1"/>
  <c r="E11" i="2" s="1"/>
  <c r="AC32" i="2" l="1"/>
  <c r="D5" i="2"/>
  <c r="I6" i="2"/>
  <c r="D4" i="2"/>
  <c r="E4" i="2" s="1"/>
  <c r="D6" i="2"/>
  <c r="I5" i="2"/>
  <c r="C8" i="1"/>
  <c r="E5" i="2"/>
  <c r="E6" i="2" l="1"/>
  <c r="B24" i="2"/>
  <c r="B32" i="2"/>
  <c r="B31" i="2"/>
</calcChain>
</file>

<file path=xl/sharedStrings.xml><?xml version="1.0" encoding="utf-8"?>
<sst xmlns="http://schemas.openxmlformats.org/spreadsheetml/2006/main" count="1103" uniqueCount="421">
  <si>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</si>
  <si>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</si>
  <si>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</si>
  <si>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</si>
  <si>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</si>
  <si>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</si>
  <si>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</si>
  <si>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</si>
  <si>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</si>
  <si>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</si>
  <si>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</si>
  <si>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</si>
  <si>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</si>
  <si>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</si>
  <si>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</si>
  <si>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</si>
  <si>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</si>
  <si>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</si>
  <si>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</si>
  <si>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</si>
  <si>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</si>
  <si>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</si>
  <si>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</si>
  <si>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</si>
  <si>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</si>
  <si>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</si>
  <si>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</si>
  <si>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</si>
  <si>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</si>
  <si>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</si>
  <si>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</si>
  <si>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</si>
  <si>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</si>
  <si>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</si>
  <si>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</si>
  <si>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</si>
  <si>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</si>
  <si>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</si>
  <si>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</si>
  <si>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</si>
  <si>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</si>
  <si>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</si>
  <si>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</si>
  <si>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</si>
  <si>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</si>
  <si>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</si>
  <si>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</si>
  <si>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</si>
  <si>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</si>
  <si>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</si>
  <si>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</si>
  <si>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</si>
  <si>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</si>
  <si>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</si>
  <si>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</si>
  <si>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</si>
  <si>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</si>
  <si>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</si>
  <si>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</si>
  <si>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</si>
  <si>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</si>
  <si>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</si>
  <si>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</si>
  <si>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</si>
  <si>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</si>
  <si>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</si>
  <si>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</si>
  <si>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</si>
  <si>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</si>
  <si>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</si>
  <si>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</si>
  <si>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</si>
  <si>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</si>
  <si>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</si>
  <si>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</si>
  <si>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</si>
  <si>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</si>
  <si>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</si>
  <si>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</si>
  <si>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</si>
  <si>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</si>
  <si>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</si>
  <si>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</si>
  <si>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</si>
  <si>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</si>
  <si>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</si>
  <si>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</si>
  <si>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</si>
  <si>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</si>
  <si>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</si>
  <si>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</si>
  <si>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</si>
  <si>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</si>
  <si>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</si>
  <si>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</si>
  <si>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</si>
  <si>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</si>
  <si>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</si>
  <si>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</si>
  <si>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</si>
  <si>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</si>
  <si>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</si>
  <si>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</si>
  <si>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</si>
  <si>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</si>
  <si>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</si>
  <si>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</si>
  <si>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</si>
  <si>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</si>
  <si>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</si>
  <si>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</si>
  <si>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</si>
  <si>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</si>
  <si>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</si>
  <si>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</si>
  <si>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</si>
  <si>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</si>
  <si>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</si>
  <si>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</si>
  <si>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</si>
  <si>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</si>
  <si>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</si>
  <si>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</si>
  <si>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</si>
  <si>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</si>
  <si>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</si>
  <si>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</si>
  <si>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</si>
  <si>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</si>
  <si>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</si>
  <si>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</si>
  <si>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</si>
  <si>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</si>
  <si>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=IFERROR(nf($E24,"U_CustRef"),"-")</t>
  </si>
  <si>
    <t>=IFERROR(nf($E24,"DocDate"),"-")</t>
  </si>
  <si>
    <t>=SUM(N24-T24)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</si>
  <si>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</si>
  <si>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</si>
  <si>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</si>
  <si>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</si>
  <si>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</si>
  <si>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=IFERROR(AD24/AA24,0)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</si>
  <si>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</si>
  <si>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</si>
  <si>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</si>
  <si>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</si>
  <si>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</si>
  <si>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</si>
  <si>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</si>
  <si>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</si>
  <si>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</si>
  <si>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</si>
  <si>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</si>
  <si>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</si>
  <si>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</si>
  <si>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</si>
  <si>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</si>
  <si>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</si>
  <si>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</si>
  <si>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</si>
  <si>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</si>
  <si>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</si>
  <si>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=IFERROR(AD25/AA25,0)</t>
  </si>
  <si>
    <t>=IFERROR(nf($E25,"LINETOTAL"),"-")</t>
  </si>
  <si>
    <t>=IFERROR(nf($E25,"ADDRESS2"),"-")</t>
  </si>
  <si>
    <t>=IFERROR(nf($E25,"U_PODATE"),"-")</t>
  </si>
  <si>
    <t>=IFERROR(nf($E25,"U_PONO"),"-")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</si>
  <si>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</si>
  <si>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</si>
  <si>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</si>
  <si>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</si>
  <si>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</si>
  <si>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</si>
  <si>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</si>
  <si>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</si>
  <si>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</si>
  <si>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</si>
  <si>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</si>
  <si>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</si>
  <si>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</si>
  <si>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=IFERROR(AD26/AA26,0)</t>
  </si>
  <si>
    <t>=IFERROR(nf($E26,"LINETOTAL"),"-")</t>
  </si>
  <si>
    <t>=IFERROR(nf($E26,"U_PODATE"),"-")</t>
  </si>
  <si>
    <t>=IFERROR(nf($E26,"U_PONO"),"-")</t>
  </si>
  <si>
    <t>=SUBTOTAL(9,AO24:AO27)</t>
  </si>
  <si>
    <t>=SUBTOTAL(9,AP24:AP27)</t>
  </si>
  <si>
    <t>Auto+Hide+Values+Formulas=Sheet5,Sheet6+FormulasOnly</t>
  </si>
  <si>
    <t>Auto</t>
  </si>
  <si>
    <t>Auto+Hide+HideSheet+Formulas=Sheet7,Sheet3,Sheet4</t>
  </si>
  <si>
    <t>Auto+Hide+HideSheet+Formulas=Sheet7,Sheet3,Sheet4+FormulasOnly</t>
  </si>
  <si>
    <t>Auto+Hide+Values+Formulas=Sheet8,Sheet5,Sheet6</t>
  </si>
  <si>
    <t>=MONTH(N25)</t>
  </si>
  <si>
    <t>=YEAR(N25)</t>
  </si>
  <si>
    <t>=SUM(N25-T25)</t>
  </si>
  <si>
    <t>=MONTH(N26)</t>
  </si>
  <si>
    <t>=YEAR(N26)</t>
  </si>
  <si>
    <t>=SUM(N26-T26)</t>
  </si>
  <si>
    <t>=IF(M27="","Hide","Show")</t>
  </si>
  <si>
    <t>=IFERROR(AD27/AA27,0)</t>
  </si>
  <si>
    <t>=IF(M28="","Hide","Show")</t>
  </si>
  <si>
    <t>=IFERROR(AD28/AA28,0)</t>
  </si>
  <si>
    <t>Auto+Hide+Values+Formulas=Sheet8,Sheet5,Sheet6+FormulasOnly</t>
  </si>
  <si>
    <t>="'CM0159-SGD','CZ0023-SGD','CA0216-SGD','CA0061-SGD','CM0315-SGD','CS0312-SGD','CI0099-SGD'"</t>
  </si>
  <si>
    <t>="01/01/2024"</t>
  </si>
  <si>
    <t>="31/01/2024"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</si>
  <si>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</si>
  <si>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</si>
  <si>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</si>
  <si>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</si>
  <si>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</si>
  <si>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</si>
  <si>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</si>
  <si>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</si>
  <si>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</si>
  <si>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</si>
  <si>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</si>
  <si>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</si>
  <si>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</si>
  <si>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</si>
  <si>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</si>
  <si>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</si>
  <si>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</si>
  <si>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</si>
  <si>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</si>
  <si>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</si>
  <si>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</si>
  <si>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</si>
  <si>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="""UICACS"","""",""SQL="",""2=DOCNUM"",""33033855"",""14=CUSTREF"",""8000008920"",""14=U_CUSTREF"",""8000008920"",""15=DOCDATE"",""3/1/2024"",""15=TAXDATE"",""3/1/2024"",""14=CARDCODE"",""CI0099-SGD"",""14=CARDNAME"",""SYNAPXE PTE. LTD."",""14=ITEMCODE"",""MSMX3-00115GLP"",""14=ITEMNAME"",""MS VS"&amp;"ENTSUBMSDN ALNG LICSAPk MVL"",""10=QUANTITY"",""3.000000"",""14=U_PONO"",""947796"",""15=U_PODATE"",""29/12/2023"",""10=U_TLINTCOS"",""0.000000"",""2=SLPCODE"",""56"",""14=SLPNAME"",""E0001-EL"",""14=MEMO"",""EUGENE LIM - ESU"",""14=CONTACTNAME"",""E-INVOICE(AP DIRECT)"",""10=LINETOTAL"","""&amp;"4467.210000"",""14=U_ENR"","""",""14=U_MSENR"",""S7138270"",""14=U_MSPCN"",""AD5A91AA"",""14=ADDRESS2"",""NANDINI DEVI_x000D_SYNAPXE PTE. LTD. 6 SERANGOON NORTH AVENUE 5, #01-01/02 SINGAPORE 554910_x000D_NANDINI DEVI_x000D_TEL: 84989294_x000D_FAX: _x000D_EMAIL: nandini.sivasubramaniam@synapxe.sg"""</t>
  </si>
  <si>
    <t>=IFERROR(NF($E25,"DOCNUM"),"-")</t>
  </si>
  <si>
    <t>=IFERROR(NF($E25,"DOCDATE"),"-")</t>
  </si>
  <si>
    <t>=IFERROR(NF($E25,"U_MSENR"),"-")</t>
  </si>
  <si>
    <t>=IFERROR(NF($E25,"U_MSPCN"),"-")</t>
  </si>
  <si>
    <t>=IFERROR(NF($E25,"CARDCODE"),"-")</t>
  </si>
  <si>
    <t>=IFERROR(NF($E25,"CARDNAME"),"-")</t>
  </si>
  <si>
    <t>=IFERROR(NF($E25,"U_CUSTREF"),"-")</t>
  </si>
  <si>
    <t>=IFERROR(NF($E25,"U_PODate"),"-")</t>
  </si>
  <si>
    <t>=IFERROR(NF($E25,"U_CustRef"),"-")</t>
  </si>
  <si>
    <t>=IFERROR(NF($E25,"DocDate"),"-")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</si>
  <si>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</si>
  <si>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</si>
  <si>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</si>
  <si>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</si>
  <si>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</si>
  <si>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</si>
  <si>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=IFERROR(NF($E25,"U_BPurDisc"),"-")</t>
  </si>
  <si>
    <t>=IFERROR(NF($E25,"ADDRESS2"),"-")</t>
  </si>
  <si>
    <t>=IFERROR(NF($E25,"U_SWSub"),"-")</t>
  </si>
  <si>
    <t>=IFERROR(NF($E25,"U_LicComDt"),"-")</t>
  </si>
  <si>
    <t>=IFERROR(NF($E25,"U_LicEndDt"),"-")</t>
  </si>
  <si>
    <t>=IFERROR(NF($E25,"Comments"),"-")</t>
  </si>
  <si>
    <t>="""UICACS"","""",""SQL="",""2=DOCNUM"",""33033861"",""14=CUSTREF"",""8000008889"",""14=U_CUSTREF"",""8000008889"",""15=DOCDATE"",""3/1/2024"",""15=TAXDATE"",""3/1/2024"",""14=CARDCODE"",""CI0099-SGD"",""14=CARDNAME"",""SYNAPXE PTE. LTD."",""14=ITEMCODE"",""MS7JQ-00355GLP"",""14=ITEMNAME"",""MS SQ"&amp;"LSVRENTCORE SNGL SA MVL 2LIC CORELIC"",""10=QUANTITY"",""2.000000"",""14=U_PONO"",""947811"",""15=U_PODATE"",""2/1/2024"",""10=U_TLINTCOS"",""0.000000"",""2=SLPCODE"",""132"",""14=SLPNAME"",""E0001-CS"",""14=MEMO"",""WENDY KUM CHIOU SZE"",""14=CONTACTNAME"",""E-INVOICE(AP DIRECT)"",""10=L"&amp;"INETOTAL"",""16804.380000"",""14=U_ENR"","""",""14=U_MSENR"",""S7138270"",""14=U_MSPCN"",""AD5A91AA"",""14=ADDRESS2"",""THOMAS NG_x000D_SYNAPXE PTE. LTD. 6 SERANGOON NORTH AVE 5, #01-01/02 SINGAPORE 554910_x000D_THOMAS NG_x000D_TEL: 90104125_x000D_FAX: _x000D_EMAIL: ng.kian.leong@SYNAPXE.SG"""</t>
  </si>
  <si>
    <t>=IFERROR(NF($E26,"DOCNUM"),"-")</t>
  </si>
  <si>
    <t>=IFERROR(NF($E26,"DOCDATE"),"-")</t>
  </si>
  <si>
    <t>=IFERROR(NF($E26,"U_MSENR"),"-")</t>
  </si>
  <si>
    <t>=IFERROR(NF($E26,"U_MSPCN"),"-")</t>
  </si>
  <si>
    <t>=IFERROR(NF($E26,"CARDCODE"),"-")</t>
  </si>
  <si>
    <t>=IFERROR(NF($E26,"CARDNAME"),"-")</t>
  </si>
  <si>
    <t>=IFERROR(NF($E26,"U_CUSTREF"),"-")</t>
  </si>
  <si>
    <t>=IFERROR(NF($E26,"U_PODate"),"-")</t>
  </si>
  <si>
    <t>=IFERROR(NF($E26,"U_CustRef"),"-")</t>
  </si>
  <si>
    <t>=IFERROR(NF($E26,"DocDate"),"-")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</si>
  <si>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</si>
  <si>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</si>
  <si>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</si>
  <si>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</si>
  <si>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</si>
  <si>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</si>
  <si>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</si>
  <si>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</si>
  <si>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</si>
  <si>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</si>
  <si>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</si>
  <si>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</si>
  <si>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="""UICACS"","""",""SQL="",""2=DOCNUM"",""33033886"",""14=CUSTREF"",""8000009124"",""14=U_CUSTREF"",""8000009124"",""15=DOCDATE"",""9/1/2024"",""15=TAXDATE"",""9/1/2024"",""14=CARDCODE"",""CI0099-SGD"",""14=CARDNAME"",""SYNAPXE PTE. LTD."",""14=ITEMCODE"",""MS9EA-00267GLP"",""14=ITEMNAME"",""MS WI"&amp;"NSVRDCCORE SNGL LICSAPK MVL 2LIC CORELIC"",""10=QUANTITY"",""24.000000"",""14=U_PONO"",""947888"",""15=U_PODATE"",""8/1/2024"",""10=U_TLINTCOS"",""0.000000"",""2=SLPCODE"",""101"",""14=SLPNAME"",""E0001-MM"",""14=MEMO"",""MELIZA MARQUEZ"",""14=CONTACTNAME"",""E-INVOICE(AP DIRECT)"",""10=L"&amp;"INETOTAL"",""29823.360000"",""14=U_ENR"","""",""14=U_MSENR"",""S7138270"",""14=U_MSPCN"",""871D43D1"",""14=ADDRESS2"",""SYNAPXE PTE LTD _x000D_6 SERANGOON NORTH AVENUE 5, _x000D_#01-01/02  _x000D_SINGAPORE 554910_x000D_ATTN: RICHARD LI JIANCHENG_x000D_TEL: 93397612_x000D_EMAIL: li.jiancheng@synapxe.sg"""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</si>
  <si>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</si>
  <si>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</si>
  <si>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</si>
  <si>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</si>
  <si>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</si>
  <si>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</si>
  <si>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</si>
  <si>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</si>
  <si>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</si>
  <si>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</si>
  <si>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=IFERROR(NF($E27,"U_CustRef"),"-")</t>
  </si>
  <si>
    <t>=IFERROR(NF($E27,"DocDate"),"-")</t>
  </si>
  <si>
    <t>=SUM(N27-T27)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</si>
  <si>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</si>
  <si>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</si>
  <si>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</si>
  <si>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</si>
  <si>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</si>
  <si>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</si>
  <si>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</si>
  <si>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</si>
  <si>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</si>
  <si>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</si>
  <si>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</si>
  <si>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</si>
  <si>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="""UICACS"","""",""SQL="",""2=DOCNUM"",""33033951"",""14=CUSTREF"",""8000009133"",""14=U_CUSTREF"",""8000009133"",""15=DOCDATE"",""17/1/2024"",""15=TAXDATE"",""17/1/2024"",""14=CARDCODE"",""CI0099-SGD"",""14=CARDNAME"",""SYNAPXE PTE. LTD."",""14=ITEMCODE"",""MS7JQ-00353GLP"",""14=ITEMNAME"",""MS "&amp;"SQLSVRENTCORE SNGL LICSAPK MVL 2LIC CORELIC"",""10=QUANTITY"",""4.000000"",""14=U_PONO"",""948034"",""15=U_PODATE"",""16/1/2024"",""10=U_TLINTCOS"",""0.000000"",""2=SLPCODE"",""132"",""14=SLPNAME"",""E0001-CS"",""14=MEMO"",""WENDY KUM CHIOU SZE"",""14=CONTACTNAME"",""E-INVOICE(AP DIRECT"&amp;")"",""10=LINETOTAL"",""86359.800000"",""14=U_ENR"","""",""14=U_MSENR"",""S7138270"",""14=U_MSPCN"",""AD5A91AA"",""14=ADDRESS2"",""LEE YOK YEE_x000D_SYNAPXE PTE LTD 6 SERANGOON NORTH AVE 5, #01-01/02 SINGAPORE 554910_x000D_LEE YOK YEE_x000D_TEL: _x000D_FAX: _x000D_EMAIL: LEE.YOK.YEE@SYNAPXE.SG"""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</si>
  <si>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</si>
  <si>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</si>
  <si>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</si>
  <si>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</si>
  <si>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</si>
  <si>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</si>
  <si>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</si>
  <si>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</si>
  <si>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</si>
  <si>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</si>
  <si>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=IFERROR(NF($E28,"U_CustRef"),"-")</t>
  </si>
  <si>
    <t>=IFERROR(NF($E28,"DocDate"),"-")</t>
  </si>
  <si>
    <t>=SUM(N28-T28)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</si>
  <si>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</si>
  <si>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</si>
  <si>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</si>
  <si>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</si>
  <si>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</si>
  <si>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</si>
  <si>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=IFERROR(NF($E28,"U_BPurDisc"),"-")</t>
  </si>
  <si>
    <t>=IFERROR(NF($E28,"ADDRESS2"),"-")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</si>
  <si>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</si>
  <si>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</si>
  <si>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</si>
  <si>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</si>
  <si>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=IF(M29="","Hide","Show")</t>
  </si>
  <si>
    <t>="""UICACS"","""",""SQL="",""2=DOCNUM"",""33033962"",""14=CUSTREF"",""8000009145"",""14=U_CUSTREF"",""8000009145"",""15=DOCDATE"",""18/1/2024"",""15=TAXDATE"",""18/1/2024"",""14=CARDCODE"",""CI0099-SGD"",""14=CARDNAME"",""SYNAPXE PTE. LTD."",""14=ITEMCODE"",""MS6VC-01288GLP"",""14=ITEMNAME"",""MS "&amp;"WIN REMOTE DESKTOP SERVICES CAL SLNG LSA UCAL"",""10=QUANTITY"",""130.000000"",""14=U_PONO"",""948085"",""15=U_PODATE"",""17/1/2024"",""10=U_TLINTCOS"",""0.000000"",""2=SLPCODE"",""132"",""14=SLPNAME"",""E0001-CS"",""14=MEMO"",""WENDY KUM CHIOU SZE"",""14=CONTACTNAME"",""E-INVOICE(AP DI"&amp;"RECT)"",""10=LINETOTAL"",""27323.400000"",""14=U_ENR"","""",""14=U_MSENR"",""S7138270"",""14=U_MSPCN"",""AD5A91AA"",""14=ADDRESS2"",""KEVIN HOO_x000D_SYNAPXE PTE. LTD. 6 SERANGOON NORTH AVENUE 5 #01-01/02 SINGAPORE 554910_x000D_KEVIN HOO_x000D_TEL: _x000D_FAX: _x000D_EMAIL: kevin.hoo@synapxe.sg"""</t>
  </si>
  <si>
    <t>=MONTH(N29)</t>
  </si>
  <si>
    <t>=YEAR(N29)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</si>
  <si>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</si>
  <si>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</si>
  <si>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</si>
  <si>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</si>
  <si>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</si>
  <si>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</si>
  <si>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</si>
  <si>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=IFERROR(NF($E29,"U_PODate"),"-")</t>
  </si>
  <si>
    <t>=IFERROR(NF($E29,"U_CustRef"),"-")</t>
  </si>
  <si>
    <t>=IFERROR(NF($E29,"DocDate"),"-")</t>
  </si>
  <si>
    <t>=SUM(N29-T29)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</si>
  <si>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</si>
  <si>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</si>
  <si>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</si>
  <si>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</si>
  <si>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</si>
  <si>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=IFERROR(AD29/AA29,0)</t>
  </si>
  <si>
    <t>=IFERROR(NF($E29,"LINETOTAL"),"-")</t>
  </si>
  <si>
    <t>=IFERROR(NF($E29,"U_BPurDisc"),"-")</t>
  </si>
  <si>
    <t>=IFERROR(NF($E29,"ADDRESS2"),"-")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</si>
  <si>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</si>
  <si>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</si>
  <si>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</si>
  <si>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</si>
  <si>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=IF(M30="","Hide","Show")</t>
  </si>
  <si>
    <t>="""UICACS"","""",""SQL="",""2=DOCNUM"",""33034011"",""14=CUSTREF"",""8000009158"",""14=U_CUSTREF"",""8000009158"",""15=DOCDATE"",""25/1/2024"",""15=TAXDATE"",""25/1/2024"",""14=CARDCODE"",""CI0099-SGD"",""14=CARDNAME"",""SYNAPXE PTE. LTD."",""14=ITEMCODE"",""MS3VU-00043GLP"",""14=ITEMNAME"",""MS "&amp;"MSDNPLTFRMS ALNG LICSAPK MVL"",""10=QUANTITY"",""2.000000"",""14=U_PONO"",""948185"",""15=U_PODATE"",""24/1/2024"",""10=U_TLINTCOS"",""0.000000"",""2=SLPCODE"",""132"",""14=SLPNAME"",""E0001-CS"",""14=MEMO"",""WENDY KUM CHIOU SZE"",""14=CONTACTNAME"",""E-INVOICE(AP DIRECT)"",""10=LINETOTA"&amp;"L"",""5297.020000"",""14=U_ENR"","""",""14=U_MSENR"",""S7138270"",""14=U_MSPCN"",""AD5A91AA"",""14=ADDRESS2"",""HERMANT JOSHI_x000D_SYNAPXE PTE. LTD. 6 SERANGOON NORTH AVE 5, #01-01/02 SINGAPORE 554910_x000D_HERMANT JOSHI_x000D_TEL: 81846105_x000D_FAX: _x000D_EMAIL: hemant.joshi@synapxe.sg"""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</si>
  <si>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</si>
  <si>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</si>
  <si>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</si>
  <si>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</si>
  <si>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</si>
  <si>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</si>
  <si>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</si>
  <si>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</si>
  <si>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=IFERROR(NF($E30,"U_CUSTREF"),"-")</t>
  </si>
  <si>
    <t>=IFERROR(NF($E30,"U_PODate"),"-")</t>
  </si>
  <si>
    <t>=IFERROR(NF($E30,"U_CustRef"),"-")</t>
  </si>
  <si>
    <t>=IFERROR(NF($E30,"DocDate"),"-")</t>
  </si>
  <si>
    <t>=SUM(N30-T30)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</si>
  <si>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</si>
  <si>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</si>
  <si>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</si>
  <si>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</si>
  <si>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</si>
  <si>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=IFERROR(AD30/AA30,0)</t>
  </si>
  <si>
    <t>=IFERROR(NF($E30,"LINETOTAL"),"-")</t>
  </si>
  <si>
    <t>=IFERROR(NF($E30,"U_BPurDisc"),"-")</t>
  </si>
  <si>
    <t>=IFERROR(NF($E30,"ADDRESS2"),"-")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</si>
  <si>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</si>
  <si>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</si>
  <si>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</si>
  <si>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</si>
  <si>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=IF(M31="","Hide","Show")</t>
  </si>
  <si>
    <t>=IFERROR(NF($E31,"DOCNUM"),"-")</t>
  </si>
  <si>
    <t>=IFERROR(NF($E31,"DOCDATE"),"-")</t>
  </si>
  <si>
    <t>=IFERROR(NF($E31,"U_MSENR"),"-")</t>
  </si>
  <si>
    <t>=IFERROR(NF($E31,"CARDCODE"),"-")</t>
  </si>
  <si>
    <t>=IFERROR(NF($E31,"CARDNAME"),"-")</t>
  </si>
  <si>
    <t>=IFERROR(NF($E31,"ITEMCODE"),"-")</t>
  </si>
  <si>
    <t>=IFERROR(NF($E31,"U_CUSTREF"),"-")</t>
  </si>
  <si>
    <t>=IFERROR(NF($E31,"ITEMNAME"),"-")</t>
  </si>
  <si>
    <t>=IFERROR(NF($E31,"MEMO"),"-")</t>
  </si>
  <si>
    <t>=IFERROR(NF($E31,"QUANTITY"),"-")</t>
  </si>
  <si>
    <t>=IFERROR(NF($E31,"CONTACTNAME"),"-")</t>
  </si>
  <si>
    <t>=IFERROR(AD31/AA31,0)</t>
  </si>
  <si>
    <t>=IFERROR(NF($E31,"LINETOTAL"),"-")</t>
  </si>
  <si>
    <t>=IFERROR(NF($E31,"ADDRESS2"),"-")</t>
  </si>
  <si>
    <t>=IFERROR(NF($E31,"U_PODATE"),"-")</t>
  </si>
  <si>
    <t>=IFERROR(NF($E31,"U_PONO"),"-")</t>
  </si>
  <si>
    <t>=IF(M32="","Hide","Show")</t>
  </si>
  <si>
    <t>=IFERROR(NF($E32,"DOCNUM"),"-")</t>
  </si>
  <si>
    <t>=IFERROR(NF($E32,"DOCDATE"),"-")</t>
  </si>
  <si>
    <t>=IFERROR(NF($E32,"U_MSENR"),"-")</t>
  </si>
  <si>
    <t>=IFERROR(NF($E32,"CARDCODE"),"-")</t>
  </si>
  <si>
    <t>=IFERROR(NF($E32,"CARDNAME"),"-")</t>
  </si>
  <si>
    <t>=IFERROR(NF($E32,"ITEMCODE"),"-")</t>
  </si>
  <si>
    <t>=IFERROR(NF($E32,"U_CUSTREF"),"-")</t>
  </si>
  <si>
    <t>=IFERROR(NF($E32,"ITEMNAME"),"-")</t>
  </si>
  <si>
    <t>=IFERROR(NF($E32,"MEMO"),"-")</t>
  </si>
  <si>
    <t>=IFERROR(NF($E32,"QUANTITY"),"-")</t>
  </si>
  <si>
    <t>=IFERROR(NF($E32,"CONTACTNAME"),"-")</t>
  </si>
  <si>
    <t>=IFERROR(AD32/AA32,0)</t>
  </si>
  <si>
    <t>=IFERROR(NF($E32,"LINETOTAL"),"-")</t>
  </si>
  <si>
    <t>=IFERROR(NF($E32,"U_PODATE"),"-")</t>
  </si>
  <si>
    <t>=IFERROR(NF($E32,"U_PONO"),"-")</t>
  </si>
  <si>
    <t>=SUBTOTAL(9,AO24:AO33)</t>
  </si>
  <si>
    <t>=SUBTOTAL(9,AP24:AP33)</t>
  </si>
  <si>
    <t>30.06.2026</t>
  </si>
  <si>
    <t>01.02.2024</t>
  </si>
  <si>
    <t>SA RENEWAL</t>
  </si>
  <si>
    <t>LICENSE WITH SA</t>
  </si>
  <si>
    <t>License with Software Assurance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</si>
</sst>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65" fontId="11" fillId="3" borderId="0" xfId="2" applyNumberFormat="1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167" fontId="0" fillId="0" borderId="0" xfId="0" applyNumberFormat="1" applyAlignment="1">
      <alignment horizontal="center" vertical="top"/>
    </xf>
    <xf numFmtId="40" fontId="13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wrapText="1"/>
    </xf>
    <xf numFmtId="167" fontId="15" fillId="0" borderId="0" xfId="0" applyNumberFormat="1" applyFont="1" applyAlignment="1">
      <alignment vertical="top"/>
    </xf>
    <xf numFmtId="0" fontId="0" fillId="0" borderId="0" xfId="0" quotePrefix="1"/>
    <xf numFmtId="15" fontId="0" fillId="0" borderId="0" xfId="0" applyNumberFormat="1" applyAlignment="1">
      <alignment vertical="top"/>
    </xf>
    <xf numFmtId="15" fontId="0" fillId="0" borderId="0" xfId="0" applyNumberFormat="1" applyAlignment="1">
      <alignment horizontal="center" vertical="top"/>
    </xf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opLeftCell="B2"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188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"01/01/2024"</f>
        <v>01/01/2024</v>
      </c>
    </row>
    <row r="4" spans="1:7">
      <c r="A4" s="1" t="s">
        <v>0</v>
      </c>
      <c r="B4" s="4" t="s">
        <v>6</v>
      </c>
      <c r="C4" s="5" t="str">
        <f>"31/01/2024"</f>
        <v>31/01/2024</v>
      </c>
    </row>
    <row r="5" spans="1:7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01/Jan/2024..31/Jan/2024</v>
      </c>
    </row>
    <row r="9" spans="1:7">
      <c r="A9" s="1" t="s">
        <v>9</v>
      </c>
      <c r="C9" s="3" t="str">
        <f>TEXT($C$3,"yyyyMMdd") &amp; ".." &amp; TEXT($C$4,"yyyyMMdd")</f>
        <v>20240101..20240131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193E8-AB9C-42A7-B1F3-DE554567C45F}">
  <dimension ref="A1:AV34"/>
  <sheetViews>
    <sheetView workbookViewId="0"/>
  </sheetViews>
  <sheetFormatPr defaultRowHeight="15"/>
  <sheetData>
    <row r="1" spans="1:48">
      <c r="A1" s="68" t="s">
        <v>201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205</v>
      </c>
      <c r="N24" s="68" t="s">
        <v>206</v>
      </c>
      <c r="O24" s="68" t="s">
        <v>207</v>
      </c>
      <c r="P24" s="68" t="s">
        <v>208</v>
      </c>
      <c r="Q24" s="68" t="s">
        <v>209</v>
      </c>
      <c r="R24" s="68" t="s">
        <v>210</v>
      </c>
      <c r="S24" s="68" t="s">
        <v>211</v>
      </c>
      <c r="T24" s="68" t="s">
        <v>212</v>
      </c>
      <c r="U24" s="68" t="s">
        <v>213</v>
      </c>
      <c r="V24" s="68" t="s">
        <v>214</v>
      </c>
      <c r="W24" s="68" t="s">
        <v>135</v>
      </c>
      <c r="X24" s="68" t="s">
        <v>215</v>
      </c>
      <c r="Y24" s="68" t="s">
        <v>216</v>
      </c>
      <c r="Z24" s="68" t="s">
        <v>217</v>
      </c>
      <c r="AA24" s="68" t="s">
        <v>218</v>
      </c>
      <c r="AB24" s="68" t="s">
        <v>219</v>
      </c>
      <c r="AC24" s="68" t="s">
        <v>141</v>
      </c>
      <c r="AD24" s="68" t="s">
        <v>220</v>
      </c>
      <c r="AE24" s="68" t="s">
        <v>221</v>
      </c>
      <c r="AF24" s="68" t="s">
        <v>220</v>
      </c>
      <c r="AG24" s="68" t="s">
        <v>95</v>
      </c>
      <c r="AH24" s="68" t="s">
        <v>222</v>
      </c>
      <c r="AJ24" s="68" t="s">
        <v>96</v>
      </c>
      <c r="AK24" s="68" t="s">
        <v>215</v>
      </c>
      <c r="AL24" s="68" t="s">
        <v>216</v>
      </c>
      <c r="AM24" s="68" t="s">
        <v>223</v>
      </c>
      <c r="AN24" s="68" t="s">
        <v>224</v>
      </c>
      <c r="AO24" s="68" t="s">
        <v>225</v>
      </c>
      <c r="AP24" s="68" t="s">
        <v>226</v>
      </c>
    </row>
    <row r="25" spans="1:42">
      <c r="A25" s="68" t="s">
        <v>187</v>
      </c>
      <c r="B25" s="68" t="s">
        <v>149</v>
      </c>
      <c r="C25" s="68" t="s">
        <v>48</v>
      </c>
      <c r="E25" s="68" t="s">
        <v>227</v>
      </c>
      <c r="K25" s="68" t="s">
        <v>191</v>
      </c>
      <c r="L25" s="68" t="s">
        <v>192</v>
      </c>
      <c r="M25" s="68" t="s">
        <v>228</v>
      </c>
      <c r="N25" s="68" t="s">
        <v>229</v>
      </c>
      <c r="O25" s="68" t="s">
        <v>230</v>
      </c>
      <c r="P25" s="68" t="s">
        <v>231</v>
      </c>
      <c r="Q25" s="68" t="s">
        <v>232</v>
      </c>
      <c r="R25" s="68" t="s">
        <v>233</v>
      </c>
      <c r="S25" s="68" t="s">
        <v>234</v>
      </c>
      <c r="T25" s="68" t="s">
        <v>235</v>
      </c>
      <c r="U25" s="68" t="s">
        <v>236</v>
      </c>
      <c r="V25" s="68" t="s">
        <v>237</v>
      </c>
      <c r="W25" s="68" t="s">
        <v>193</v>
      </c>
      <c r="X25" s="68" t="s">
        <v>238</v>
      </c>
      <c r="Y25" s="68" t="s">
        <v>239</v>
      </c>
      <c r="Z25" s="68" t="s">
        <v>240</v>
      </c>
      <c r="AA25" s="68" t="s">
        <v>241</v>
      </c>
      <c r="AB25" s="68" t="s">
        <v>242</v>
      </c>
      <c r="AC25" s="68" t="s">
        <v>162</v>
      </c>
      <c r="AD25" s="68" t="s">
        <v>243</v>
      </c>
      <c r="AE25" s="68" t="s">
        <v>244</v>
      </c>
      <c r="AF25" s="68" t="s">
        <v>243</v>
      </c>
      <c r="AG25" s="68" t="s">
        <v>95</v>
      </c>
      <c r="AH25" s="68" t="s">
        <v>245</v>
      </c>
      <c r="AJ25" s="68" t="s">
        <v>96</v>
      </c>
      <c r="AK25" s="68" t="s">
        <v>238</v>
      </c>
      <c r="AL25" s="68" t="s">
        <v>239</v>
      </c>
      <c r="AM25" s="68" t="s">
        <v>246</v>
      </c>
      <c r="AN25" s="68" t="s">
        <v>247</v>
      </c>
      <c r="AO25" s="68" t="s">
        <v>248</v>
      </c>
      <c r="AP25" s="68" t="s">
        <v>249</v>
      </c>
    </row>
    <row r="26" spans="1:42">
      <c r="A26" s="68" t="s">
        <v>187</v>
      </c>
      <c r="B26" s="68" t="s">
        <v>167</v>
      </c>
      <c r="C26" s="68" t="s">
        <v>48</v>
      </c>
      <c r="E26" s="68" t="s">
        <v>250</v>
      </c>
      <c r="K26" s="68" t="s">
        <v>194</v>
      </c>
      <c r="L26" s="68" t="s">
        <v>195</v>
      </c>
      <c r="M26" s="68" t="s">
        <v>251</v>
      </c>
      <c r="N26" s="68" t="s">
        <v>252</v>
      </c>
      <c r="O26" s="68" t="s">
        <v>253</v>
      </c>
      <c r="P26" s="68" t="s">
        <v>254</v>
      </c>
      <c r="Q26" s="68" t="s">
        <v>255</v>
      </c>
      <c r="R26" s="68" t="s">
        <v>256</v>
      </c>
      <c r="S26" s="68" t="s">
        <v>257</v>
      </c>
      <c r="T26" s="68" t="s">
        <v>258</v>
      </c>
      <c r="U26" s="68" t="s">
        <v>259</v>
      </c>
      <c r="V26" s="68" t="s">
        <v>260</v>
      </c>
      <c r="W26" s="68" t="s">
        <v>196</v>
      </c>
      <c r="X26" s="68" t="s">
        <v>261</v>
      </c>
      <c r="Y26" s="68" t="s">
        <v>262</v>
      </c>
      <c r="Z26" s="68" t="s">
        <v>263</v>
      </c>
      <c r="AA26" s="68" t="s">
        <v>264</v>
      </c>
      <c r="AB26" s="68" t="s">
        <v>265</v>
      </c>
      <c r="AC26" s="68" t="s">
        <v>180</v>
      </c>
      <c r="AD26" s="68" t="s">
        <v>266</v>
      </c>
      <c r="AE26" s="68" t="s">
        <v>267</v>
      </c>
      <c r="AF26" s="68" t="s">
        <v>266</v>
      </c>
      <c r="AG26" s="68" t="s">
        <v>95</v>
      </c>
      <c r="AH26" s="68" t="s">
        <v>268</v>
      </c>
      <c r="AJ26" s="68" t="s">
        <v>96</v>
      </c>
      <c r="AK26" s="68" t="s">
        <v>261</v>
      </c>
      <c r="AL26" s="68" t="s">
        <v>262</v>
      </c>
      <c r="AM26" s="68" t="s">
        <v>269</v>
      </c>
      <c r="AN26" s="68" t="s">
        <v>270</v>
      </c>
      <c r="AO26" s="68" t="s">
        <v>271</v>
      </c>
      <c r="AP26" s="68" t="s">
        <v>272</v>
      </c>
    </row>
    <row r="27" spans="1:42">
      <c r="A27" s="68" t="s">
        <v>187</v>
      </c>
      <c r="B27" s="68" t="s">
        <v>197</v>
      </c>
      <c r="C27" s="68" t="s">
        <v>48</v>
      </c>
      <c r="E27" s="68" t="s">
        <v>273</v>
      </c>
      <c r="K27" s="68" t="s">
        <v>274</v>
      </c>
      <c r="L27" s="68" t="s">
        <v>275</v>
      </c>
      <c r="M27" s="68" t="s">
        <v>276</v>
      </c>
      <c r="N27" s="68" t="s">
        <v>277</v>
      </c>
      <c r="O27" s="68" t="s">
        <v>278</v>
      </c>
      <c r="P27" s="68" t="s">
        <v>279</v>
      </c>
      <c r="Q27" s="68" t="s">
        <v>280</v>
      </c>
      <c r="R27" s="68" t="s">
        <v>281</v>
      </c>
      <c r="S27" s="68" t="s">
        <v>282</v>
      </c>
      <c r="T27" s="68" t="s">
        <v>283</v>
      </c>
      <c r="U27" s="68" t="s">
        <v>284</v>
      </c>
      <c r="V27" s="68" t="s">
        <v>285</v>
      </c>
      <c r="W27" s="68" t="s">
        <v>286</v>
      </c>
      <c r="X27" s="68" t="s">
        <v>287</v>
      </c>
      <c r="Y27" s="68" t="s">
        <v>288</v>
      </c>
      <c r="Z27" s="68" t="s">
        <v>289</v>
      </c>
      <c r="AA27" s="68" t="s">
        <v>290</v>
      </c>
      <c r="AB27" s="68" t="s">
        <v>291</v>
      </c>
      <c r="AC27" s="68" t="s">
        <v>198</v>
      </c>
      <c r="AD27" s="68" t="s">
        <v>292</v>
      </c>
      <c r="AE27" s="68" t="s">
        <v>293</v>
      </c>
      <c r="AF27" s="68" t="s">
        <v>292</v>
      </c>
      <c r="AG27" s="68" t="s">
        <v>95</v>
      </c>
      <c r="AH27" s="68" t="s">
        <v>294</v>
      </c>
      <c r="AJ27" s="68" t="s">
        <v>96</v>
      </c>
      <c r="AK27" s="68" t="s">
        <v>287</v>
      </c>
      <c r="AL27" s="68" t="s">
        <v>288</v>
      </c>
      <c r="AM27" s="68" t="s">
        <v>295</v>
      </c>
      <c r="AN27" s="68" t="s">
        <v>296</v>
      </c>
      <c r="AO27" s="68" t="s">
        <v>297</v>
      </c>
      <c r="AP27" s="68" t="s">
        <v>298</v>
      </c>
    </row>
    <row r="28" spans="1:42">
      <c r="A28" s="68" t="s">
        <v>187</v>
      </c>
      <c r="B28" s="68" t="s">
        <v>199</v>
      </c>
      <c r="C28" s="68" t="s">
        <v>48</v>
      </c>
      <c r="E28" s="68" t="s">
        <v>299</v>
      </c>
      <c r="K28" s="68" t="s">
        <v>300</v>
      </c>
      <c r="L28" s="68" t="s">
        <v>301</v>
      </c>
      <c r="M28" s="68" t="s">
        <v>302</v>
      </c>
      <c r="N28" s="68" t="s">
        <v>303</v>
      </c>
      <c r="O28" s="68" t="s">
        <v>304</v>
      </c>
      <c r="P28" s="68" t="s">
        <v>305</v>
      </c>
      <c r="Q28" s="68" t="s">
        <v>306</v>
      </c>
      <c r="R28" s="68" t="s">
        <v>307</v>
      </c>
      <c r="S28" s="68" t="s">
        <v>308</v>
      </c>
      <c r="T28" s="68" t="s">
        <v>309</v>
      </c>
      <c r="U28" s="68" t="s">
        <v>310</v>
      </c>
      <c r="V28" s="68" t="s">
        <v>311</v>
      </c>
      <c r="W28" s="68" t="s">
        <v>312</v>
      </c>
      <c r="X28" s="68" t="s">
        <v>313</v>
      </c>
      <c r="Y28" s="68" t="s">
        <v>314</v>
      </c>
      <c r="Z28" s="68" t="s">
        <v>315</v>
      </c>
      <c r="AA28" s="68" t="s">
        <v>316</v>
      </c>
      <c r="AB28" s="68" t="s">
        <v>317</v>
      </c>
      <c r="AC28" s="68" t="s">
        <v>200</v>
      </c>
      <c r="AD28" s="68" t="s">
        <v>318</v>
      </c>
      <c r="AE28" s="68" t="s">
        <v>319</v>
      </c>
      <c r="AF28" s="68" t="s">
        <v>318</v>
      </c>
      <c r="AG28" s="68" t="s">
        <v>95</v>
      </c>
      <c r="AH28" s="68" t="s">
        <v>320</v>
      </c>
      <c r="AJ28" s="68" t="s">
        <v>96</v>
      </c>
      <c r="AK28" s="68" t="s">
        <v>313</v>
      </c>
      <c r="AL28" s="68" t="s">
        <v>314</v>
      </c>
      <c r="AM28" s="68" t="s">
        <v>321</v>
      </c>
      <c r="AN28" s="68" t="s">
        <v>322</v>
      </c>
      <c r="AO28" s="68" t="s">
        <v>323</v>
      </c>
      <c r="AP28" s="68" t="s">
        <v>324</v>
      </c>
    </row>
    <row r="29" spans="1:42">
      <c r="A29" s="68" t="s">
        <v>187</v>
      </c>
      <c r="B29" s="68" t="s">
        <v>325</v>
      </c>
      <c r="C29" s="68" t="s">
        <v>48</v>
      </c>
      <c r="E29" s="68" t="s">
        <v>326</v>
      </c>
      <c r="K29" s="68" t="s">
        <v>327</v>
      </c>
      <c r="L29" s="68" t="s">
        <v>328</v>
      </c>
      <c r="M29" s="68" t="s">
        <v>329</v>
      </c>
      <c r="N29" s="68" t="s">
        <v>330</v>
      </c>
      <c r="O29" s="68" t="s">
        <v>331</v>
      </c>
      <c r="P29" s="68" t="s">
        <v>332</v>
      </c>
      <c r="Q29" s="68" t="s">
        <v>333</v>
      </c>
      <c r="R29" s="68" t="s">
        <v>334</v>
      </c>
      <c r="S29" s="68" t="s">
        <v>335</v>
      </c>
      <c r="T29" s="68" t="s">
        <v>336</v>
      </c>
      <c r="U29" s="68" t="s">
        <v>337</v>
      </c>
      <c r="V29" s="68" t="s">
        <v>338</v>
      </c>
      <c r="W29" s="68" t="s">
        <v>339</v>
      </c>
      <c r="X29" s="68" t="s">
        <v>340</v>
      </c>
      <c r="Y29" s="68" t="s">
        <v>341</v>
      </c>
      <c r="Z29" s="68" t="s">
        <v>342</v>
      </c>
      <c r="AA29" s="68" t="s">
        <v>343</v>
      </c>
      <c r="AB29" s="68" t="s">
        <v>344</v>
      </c>
      <c r="AC29" s="68" t="s">
        <v>345</v>
      </c>
      <c r="AD29" s="68" t="s">
        <v>346</v>
      </c>
      <c r="AE29" s="68" t="s">
        <v>347</v>
      </c>
      <c r="AF29" s="68" t="s">
        <v>346</v>
      </c>
      <c r="AG29" s="68" t="s">
        <v>95</v>
      </c>
      <c r="AH29" s="68" t="s">
        <v>348</v>
      </c>
      <c r="AJ29" s="68" t="s">
        <v>96</v>
      </c>
      <c r="AK29" s="68" t="s">
        <v>340</v>
      </c>
      <c r="AL29" s="68" t="s">
        <v>341</v>
      </c>
      <c r="AM29" s="68" t="s">
        <v>349</v>
      </c>
      <c r="AN29" s="68" t="s">
        <v>350</v>
      </c>
      <c r="AO29" s="68" t="s">
        <v>351</v>
      </c>
      <c r="AP29" s="68" t="s">
        <v>352</v>
      </c>
    </row>
    <row r="30" spans="1:42">
      <c r="A30" s="68" t="s">
        <v>187</v>
      </c>
      <c r="B30" s="68" t="s">
        <v>353</v>
      </c>
      <c r="C30" s="68" t="s">
        <v>48</v>
      </c>
      <c r="E30" s="68" t="s">
        <v>354</v>
      </c>
      <c r="K30" s="68" t="s">
        <v>355</v>
      </c>
      <c r="L30" s="68" t="s">
        <v>356</v>
      </c>
      <c r="M30" s="68" t="s">
        <v>357</v>
      </c>
      <c r="N30" s="68" t="s">
        <v>358</v>
      </c>
      <c r="O30" s="68" t="s">
        <v>359</v>
      </c>
      <c r="P30" s="68" t="s">
        <v>360</v>
      </c>
      <c r="Q30" s="68" t="s">
        <v>361</v>
      </c>
      <c r="R30" s="68" t="s">
        <v>362</v>
      </c>
      <c r="S30" s="68" t="s">
        <v>363</v>
      </c>
      <c r="T30" s="68" t="s">
        <v>364</v>
      </c>
      <c r="U30" s="68" t="s">
        <v>365</v>
      </c>
      <c r="V30" s="68" t="s">
        <v>366</v>
      </c>
      <c r="W30" s="68" t="s">
        <v>367</v>
      </c>
      <c r="X30" s="68" t="s">
        <v>368</v>
      </c>
      <c r="Y30" s="68" t="s">
        <v>369</v>
      </c>
      <c r="Z30" s="68" t="s">
        <v>370</v>
      </c>
      <c r="AA30" s="68" t="s">
        <v>371</v>
      </c>
      <c r="AB30" s="68" t="s">
        <v>372</v>
      </c>
      <c r="AC30" s="68" t="s">
        <v>373</v>
      </c>
      <c r="AD30" s="68" t="s">
        <v>374</v>
      </c>
      <c r="AE30" s="68" t="s">
        <v>375</v>
      </c>
      <c r="AF30" s="68" t="s">
        <v>374</v>
      </c>
      <c r="AG30" s="68" t="s">
        <v>95</v>
      </c>
      <c r="AH30" s="68" t="s">
        <v>376</v>
      </c>
      <c r="AJ30" s="68" t="s">
        <v>96</v>
      </c>
      <c r="AK30" s="68" t="s">
        <v>368</v>
      </c>
      <c r="AL30" s="68" t="s">
        <v>369</v>
      </c>
      <c r="AM30" s="68" t="s">
        <v>377</v>
      </c>
      <c r="AN30" s="68" t="s">
        <v>378</v>
      </c>
      <c r="AO30" s="68" t="s">
        <v>379</v>
      </c>
      <c r="AP30" s="68" t="s">
        <v>380</v>
      </c>
    </row>
    <row r="31" spans="1:42">
      <c r="B31" s="68" t="s">
        <v>381</v>
      </c>
      <c r="C31" s="68" t="s">
        <v>49</v>
      </c>
      <c r="E31" s="68" t="s">
        <v>150</v>
      </c>
      <c r="M31" s="68" t="s">
        <v>382</v>
      </c>
      <c r="N31" s="68" t="s">
        <v>383</v>
      </c>
      <c r="O31" s="68" t="s">
        <v>384</v>
      </c>
      <c r="Q31" s="68" t="s">
        <v>385</v>
      </c>
      <c r="R31" s="68" t="s">
        <v>386</v>
      </c>
      <c r="T31" s="68" t="s">
        <v>387</v>
      </c>
      <c r="U31" s="68" t="s">
        <v>388</v>
      </c>
      <c r="X31" s="68" t="s">
        <v>387</v>
      </c>
      <c r="Y31" s="68" t="s">
        <v>389</v>
      </c>
      <c r="Z31" s="68" t="s">
        <v>390</v>
      </c>
      <c r="AA31" s="68" t="s">
        <v>391</v>
      </c>
      <c r="AB31" s="68" t="s">
        <v>392</v>
      </c>
      <c r="AC31" s="68" t="s">
        <v>393</v>
      </c>
      <c r="AD31" s="68" t="s">
        <v>394</v>
      </c>
      <c r="AH31" s="68" t="s">
        <v>395</v>
      </c>
      <c r="AL31" s="68" t="s">
        <v>396</v>
      </c>
      <c r="AM31" s="68" t="s">
        <v>397</v>
      </c>
    </row>
    <row r="32" spans="1:42">
      <c r="B32" s="68" t="s">
        <v>398</v>
      </c>
      <c r="C32" s="68" t="s">
        <v>50</v>
      </c>
      <c r="E32" s="68" t="s">
        <v>168</v>
      </c>
      <c r="M32" s="68" t="s">
        <v>399</v>
      </c>
      <c r="N32" s="68" t="s">
        <v>400</v>
      </c>
      <c r="O32" s="68" t="s">
        <v>401</v>
      </c>
      <c r="Q32" s="68" t="s">
        <v>402</v>
      </c>
      <c r="R32" s="68" t="s">
        <v>403</v>
      </c>
      <c r="T32" s="68" t="s">
        <v>404</v>
      </c>
      <c r="U32" s="68" t="s">
        <v>405</v>
      </c>
      <c r="X32" s="68" t="s">
        <v>404</v>
      </c>
      <c r="Y32" s="68" t="s">
        <v>406</v>
      </c>
      <c r="Z32" s="68" t="s">
        <v>407</v>
      </c>
      <c r="AA32" s="68" t="s">
        <v>408</v>
      </c>
      <c r="AB32" s="68" t="s">
        <v>409</v>
      </c>
      <c r="AC32" s="68" t="s">
        <v>410</v>
      </c>
      <c r="AD32" s="68" t="s">
        <v>411</v>
      </c>
      <c r="AL32" s="68" t="s">
        <v>412</v>
      </c>
      <c r="AM32" s="68" t="s">
        <v>413</v>
      </c>
    </row>
    <row r="34" spans="29:30">
      <c r="AC34" s="68" t="s">
        <v>414</v>
      </c>
      <c r="AD34" s="68" t="s">
        <v>415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4"/>
  <sheetViews>
    <sheetView tabSelected="1" topLeftCell="AH19" zoomScale="85" zoomScaleNormal="85" workbookViewId="0">
      <selection activeCell="AN44" sqref="AN44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6.42578125" style="4" customWidth="1"/>
    <col min="12" max="12" width="8.140625" style="4" customWidth="1"/>
    <col min="13" max="13" width="11" style="4" bestFit="1" customWidth="1"/>
    <col min="14" max="14" width="10.85546875" style="21" bestFit="1" customWidth="1"/>
    <col min="15" max="15" width="10.28515625" style="18" customWidth="1"/>
    <col min="16" max="16" width="11.42578125" style="18" customWidth="1"/>
    <col min="17" max="17" width="11.85546875" style="4" bestFit="1" customWidth="1"/>
    <col min="18" max="18" width="6.7109375" style="4" customWidth="1"/>
    <col min="19" max="19" width="14" style="45" customWidth="1"/>
    <col min="20" max="20" width="10.85546875" style="45" bestFit="1" customWidth="1"/>
    <col min="21" max="21" width="15.140625" style="45" bestFit="1" customWidth="1"/>
    <col min="22" max="22" width="12.28515625" style="45" customWidth="1"/>
    <col min="23" max="23" width="9.140625" style="45" customWidth="1"/>
    <col min="24" max="24" width="16.7109375" style="4" hidden="1" customWidth="1"/>
    <col min="25" max="25" width="68" style="4" hidden="1" customWidth="1"/>
    <col min="26" max="26" width="12.7109375" style="4" customWidth="1"/>
    <col min="27" max="27" width="10.5703125" style="60" bestFit="1" customWidth="1"/>
    <col min="28" max="28" width="21.42578125" style="4" bestFit="1" customWidth="1"/>
    <col min="29" max="30" width="9" style="4" customWidth="1"/>
    <col min="31" max="31" width="9" style="21" customWidth="1"/>
    <col min="32" max="32" width="9" style="4" customWidth="1"/>
    <col min="33" max="33" width="11.28515625" style="21" customWidth="1"/>
    <col min="34" max="34" width="46.5703125" style="4" customWidth="1"/>
    <col min="35" max="35" width="11.28515625" style="4" customWidth="1"/>
    <col min="36" max="36" width="11.28515625" style="21" customWidth="1"/>
    <col min="37" max="37" width="14.42578125" style="4" customWidth="1"/>
    <col min="38" max="38" width="51.42578125" style="4" bestFit="1" customWidth="1"/>
    <col min="39" max="39" width="13.42578125" style="4" bestFit="1" customWidth="1"/>
    <col min="40" max="40" width="14.28515625" style="4" customWidth="1"/>
    <col min="41" max="41" width="11.28515625" style="35" bestFit="1" customWidth="1"/>
    <col min="42" max="42" width="14.7109375" style="35" customWidth="1"/>
    <col min="43" max="46" width="9.28515625" style="4"/>
    <col min="47" max="48" width="9.28515625" style="4" hidden="1" customWidth="1"/>
    <col min="49" max="16384" width="9.28515625" style="4"/>
  </cols>
  <sheetData>
    <row r="1" spans="1:48" s="1" customFormat="1" hidden="1">
      <c r="A1" s="1" t="s">
        <v>190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M1" s="1" t="s">
        <v>18</v>
      </c>
      <c r="N1" s="22" t="s">
        <v>18</v>
      </c>
      <c r="O1" s="17" t="s">
        <v>18</v>
      </c>
      <c r="P1" s="17"/>
      <c r="Q1" s="1" t="s">
        <v>18</v>
      </c>
      <c r="R1" s="1" t="s">
        <v>18</v>
      </c>
      <c r="S1" s="44"/>
      <c r="T1" s="44" t="s">
        <v>18</v>
      </c>
      <c r="U1" s="44" t="s">
        <v>18</v>
      </c>
      <c r="V1" s="44" t="s">
        <v>18</v>
      </c>
      <c r="W1" s="44"/>
      <c r="X1" s="1" t="s">
        <v>7</v>
      </c>
      <c r="Y1" s="1" t="s">
        <v>7</v>
      </c>
      <c r="Z1" s="1" t="s">
        <v>18</v>
      </c>
      <c r="AA1" s="22" t="s">
        <v>18</v>
      </c>
      <c r="AB1" s="1" t="s">
        <v>18</v>
      </c>
      <c r="AE1" s="22"/>
      <c r="AG1" s="22"/>
      <c r="AJ1" s="22"/>
      <c r="AL1" s="1" t="s">
        <v>18</v>
      </c>
      <c r="AM1" s="1" t="s">
        <v>18</v>
      </c>
      <c r="AO1" s="34"/>
      <c r="AP1" s="34"/>
      <c r="AU1" s="1" t="s">
        <v>7</v>
      </c>
      <c r="AV1" s="1" t="s">
        <v>7</v>
      </c>
    </row>
    <row r="2" spans="1:48" hidden="1">
      <c r="A2" s="1" t="s">
        <v>7</v>
      </c>
      <c r="D2" s="4" t="s">
        <v>19</v>
      </c>
      <c r="E2" s="4" t="str">
        <f>Option!$C$2</f>
        <v>UICACS</v>
      </c>
    </row>
    <row r="3" spans="1:48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8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8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8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8" hidden="1">
      <c r="A7" s="1" t="s">
        <v>7</v>
      </c>
    </row>
    <row r="8" spans="1:48" hidden="1">
      <c r="A8" s="1" t="s">
        <v>7</v>
      </c>
      <c r="M8" s="9"/>
    </row>
    <row r="9" spans="1:48" hidden="1">
      <c r="A9" s="1" t="s">
        <v>7</v>
      </c>
      <c r="M9" s="9"/>
    </row>
    <row r="10" spans="1:48" hidden="1">
      <c r="A10" s="1" t="s">
        <v>7</v>
      </c>
    </row>
    <row r="11" spans="1:48" hidden="1">
      <c r="A11" s="1" t="s">
        <v>7</v>
      </c>
      <c r="C11" s="4" t="s">
        <v>27</v>
      </c>
      <c r="E11" s="4" t="str">
        <f>Option!$C$9</f>
        <v>20240101..20240131</v>
      </c>
      <c r="M11" s="9"/>
    </row>
    <row r="12" spans="1:48" hidden="1">
      <c r="A12" s="1" t="s">
        <v>7</v>
      </c>
      <c r="C12" s="4" t="s">
        <v>28</v>
      </c>
      <c r="E12" s="4" t="str">
        <f>Option!$C$5</f>
        <v>*</v>
      </c>
      <c r="M12" s="9"/>
    </row>
    <row r="13" spans="1:48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8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8" hidden="1">
      <c r="A15" s="1" t="s">
        <v>7</v>
      </c>
      <c r="C15" s="4" t="s">
        <v>43</v>
      </c>
      <c r="E15" s="4" t="str">
        <f>Option!$C$12</f>
        <v>'MS'</v>
      </c>
      <c r="AL15" s="16"/>
    </row>
    <row r="16" spans="1:48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42" hidden="1">
      <c r="A17" s="1" t="s">
        <v>7</v>
      </c>
    </row>
    <row r="18" spans="1:42" s="23" customFormat="1" hidden="1">
      <c r="A18" s="23" t="s">
        <v>7</v>
      </c>
      <c r="I18" s="24"/>
      <c r="N18" s="25"/>
      <c r="O18" s="26"/>
      <c r="P18" s="26"/>
      <c r="S18" s="46"/>
      <c r="T18" s="46"/>
      <c r="U18" s="46"/>
      <c r="V18" s="46"/>
      <c r="W18" s="46"/>
      <c r="AA18" s="61"/>
      <c r="AE18" s="25"/>
      <c r="AG18" s="25"/>
      <c r="AJ18" s="25"/>
      <c r="AO18" s="36"/>
      <c r="AP18" s="36"/>
    </row>
    <row r="20" spans="1:42" ht="15.75">
      <c r="M20" s="20"/>
      <c r="N20" s="20"/>
      <c r="O20" s="20"/>
      <c r="P20" s="20"/>
      <c r="Q20" s="20"/>
      <c r="R20" s="20"/>
      <c r="S20" s="47"/>
      <c r="T20" s="47"/>
      <c r="U20" s="47"/>
      <c r="V20" s="47"/>
      <c r="W20" s="47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2" s="40" customFormat="1" ht="18.75">
      <c r="A21" s="39"/>
      <c r="B21" s="39"/>
      <c r="I21" s="41"/>
      <c r="M21" s="71" t="s">
        <v>76</v>
      </c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43"/>
      <c r="AO21" s="42"/>
      <c r="AP21" s="42"/>
    </row>
    <row r="22" spans="1:42" ht="15.75">
      <c r="M22" s="20"/>
      <c r="N22" s="20"/>
      <c r="O22" s="20"/>
      <c r="P22" s="20"/>
      <c r="Q22" s="20"/>
      <c r="R22" s="20"/>
      <c r="S22" s="47"/>
      <c r="T22" s="47"/>
      <c r="U22" s="47"/>
      <c r="V22" s="47"/>
      <c r="W22" s="47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2" s="54" customFormat="1" ht="78.75">
      <c r="A23" s="53"/>
      <c r="B23" s="53"/>
      <c r="E23" s="55" t="s">
        <v>29</v>
      </c>
      <c r="I23" s="56"/>
      <c r="K23" s="48" t="s">
        <v>77</v>
      </c>
      <c r="L23" s="48" t="s">
        <v>78</v>
      </c>
      <c r="M23" s="48" t="s">
        <v>14</v>
      </c>
      <c r="N23" s="48" t="s">
        <v>16</v>
      </c>
      <c r="O23" s="57" t="s">
        <v>30</v>
      </c>
      <c r="P23" s="57" t="s">
        <v>79</v>
      </c>
      <c r="Q23" s="48" t="s">
        <v>31</v>
      </c>
      <c r="R23" s="58" t="s">
        <v>38</v>
      </c>
      <c r="S23" s="48" t="s">
        <v>15</v>
      </c>
      <c r="T23" s="48" t="s">
        <v>80</v>
      </c>
      <c r="U23" s="48" t="s">
        <v>34</v>
      </c>
      <c r="V23" s="48" t="s">
        <v>81</v>
      </c>
      <c r="W23" s="49" t="s">
        <v>82</v>
      </c>
      <c r="X23" s="64" t="s">
        <v>36</v>
      </c>
      <c r="Y23" s="64" t="s">
        <v>12</v>
      </c>
      <c r="Z23" s="58" t="s">
        <v>32</v>
      </c>
      <c r="AA23" s="48" t="s">
        <v>13</v>
      </c>
      <c r="AB23" s="58" t="s">
        <v>37</v>
      </c>
      <c r="AC23" s="59" t="s">
        <v>57</v>
      </c>
      <c r="AD23" s="59" t="s">
        <v>58</v>
      </c>
      <c r="AE23" s="62" t="s">
        <v>83</v>
      </c>
      <c r="AF23" s="58" t="s">
        <v>84</v>
      </c>
      <c r="AG23" s="48" t="s">
        <v>85</v>
      </c>
      <c r="AH23" s="58" t="s">
        <v>86</v>
      </c>
      <c r="AI23" s="58" t="s">
        <v>87</v>
      </c>
      <c r="AJ23" s="66" t="s">
        <v>94</v>
      </c>
      <c r="AK23" s="66" t="s">
        <v>88</v>
      </c>
      <c r="AL23" s="66" t="s">
        <v>89</v>
      </c>
      <c r="AM23" s="66" t="s">
        <v>90</v>
      </c>
      <c r="AN23" s="66" t="s">
        <v>91</v>
      </c>
      <c r="AO23" s="66" t="s">
        <v>92</v>
      </c>
      <c r="AP23" s="66" t="s">
        <v>93</v>
      </c>
    </row>
    <row r="24" spans="1:42">
      <c r="B24" s="1" t="str">
        <f>IF(M24="","Hide","Show")</f>
        <v>Show</v>
      </c>
      <c r="C24" s="4" t="s">
        <v>48</v>
      </c>
      <c r="E24" s="13" t="str">
        <f>"""UICACS"","""",""SQL="",""2=DOCNUM"",""33033855"",""14=CUSTREF"",""8000008920"",""14=U_CUSTREF"",""8000008920"",""15=DOCDATE"",""3/1/2024"",""15=TAXDATE"",""3/1/2024"",""14=CARDCODE"",""CI0099-SGD"",""14=CARDNAME"",""SYNAPXE PTE. LTD."",""14=ITEMCODE"",""MS77D-00110GLP"",""14=ITEMNAME"",""MS VS"&amp;"PROwMSDN ALNG LICSAPk MVL"",""10=QUANTITY"",""40.000000"",""14=U_PONO"",""947796"",""15=U_PODATE"",""29/12/2023"",""10=U_TLINTCOS"",""0.000000"",""2=SLPCODE"",""56"",""14=SLPNAME"",""E0001-EL"",""14=MEMO"",""EUGENE LIM - ESU"",""14=CONTACTNAME"",""E-INVOICE(AP DIRECT)"",""10=LINETOTAL"",""1"&amp;"7057.600000"",""14=U_ENR"","""",""14=U_MSENR"",""S7138270"",""14=U_MSPCN"",""AD5A91AA"",""14=ADDRESS2"",""NANDINI DEVI_x000D_SYNAPXE PTE. LTD. 6 SERANGOON NORTH AVENUE 5, #01-01/02 SINGAPORE 554910_x000D_NANDINI DEVI_x000D_TEL: 84989294_x000D_FAX: _x000D_EMAIL: nandini.sivasubramaniam@synapxe.sg"""</f>
        <v>"UICACS","","SQL=","2=DOCNUM","33033855","14=CUSTREF","8000008920","14=U_CUSTREF","8000008920","15=DOCDATE","3/1/2024","15=TAXDATE","3/1/2024","14=CARDCODE","CI0099-SGD","14=CARDNAME","SYNAPXE PTE. LTD.","14=ITEMCODE","MS77D-00110GLP","14=ITEMNAME","MS VSPROwMSDN ALNG LICSAPk MVL","10=QUANTITY","40.000000","14=U_PONO","947796","15=U_PODATE","29/12/2023","10=U_TLINTCOS","0.000000","2=SLPCODE","56","14=SLPNAME","E0001-EL","14=MEMO","EUGENE LIM - ESU","14=CONTACTNAME","E-INVOICE(AP DIRECT)","10=LINETOTAL","17057.600000","14=U_ENR","","14=U_MSENR","S7138270","14=U_MSPCN","AD5A91AA","14=ADDRESS2","NANDINI DEVI_x000D_SYNAPXE PTE. LTD. 6 SERANGOON NORTH AVENUE 5, #01-01/02 SINGAPORE 554910_x000D_NANDINI DEVI_x000D_TEL: 84989294_x000D_FAX: _x000D_EMAIL: nandini.sivasubramaniam@synapxe.sg"</v>
      </c>
      <c r="K24" s="4">
        <f t="shared" ref="K24:K30" si="0">MONTH(N24)</f>
        <v>1</v>
      </c>
      <c r="L24" s="4">
        <f t="shared" ref="L24:L30" si="1">YEAR(N24)</f>
        <v>2024</v>
      </c>
      <c r="M24" s="4">
        <v>33033855</v>
      </c>
      <c r="N24" s="38">
        <v>45294</v>
      </c>
      <c r="O24" s="4" t="str">
        <f t="shared" ref="O24:O30" si="2">"S7138270"</f>
        <v>S7138270</v>
      </c>
      <c r="P24" s="4" t="str">
        <f>"AD5A91AA"</f>
        <v>AD5A91AA</v>
      </c>
      <c r="Q24" s="4" t="str">
        <f t="shared" ref="Q24:Q30" si="3">"CI0099-SGD"</f>
        <v>CI0099-SGD</v>
      </c>
      <c r="R24" s="4" t="str">
        <f t="shared" ref="R24:R30" si="4">"SYNAPXE PTE. LTD."</f>
        <v>SYNAPXE PTE. LTD.</v>
      </c>
      <c r="S24" s="50" t="str">
        <f>"8000008920"</f>
        <v>8000008920</v>
      </c>
      <c r="T24" s="50">
        <v>45289</v>
      </c>
      <c r="U24" s="50" t="str">
        <f>"8000008920"</f>
        <v>8000008920</v>
      </c>
      <c r="V24" s="50">
        <v>45294</v>
      </c>
      <c r="W24" s="51">
        <f t="shared" ref="W24:W30" si="5">SUM(N24-T24)</f>
        <v>5</v>
      </c>
      <c r="X24" s="65" t="str">
        <f>"MS77D-00110GLP"</f>
        <v>MS77D-00110GLP</v>
      </c>
      <c r="Y24" s="65" t="str">
        <f>"MS VSPROwMSDN ALNG LICSAPk MVL"</f>
        <v>MS VSPROwMSDN ALNG LICSAPk MVL</v>
      </c>
      <c r="Z24" s="65" t="str">
        <f>"EUGENE LIM - ESU"</f>
        <v>EUGENE LIM - ESU</v>
      </c>
      <c r="AA24" s="60">
        <v>40</v>
      </c>
      <c r="AB24" s="65" t="str">
        <f t="shared" ref="AB24:AB30" si="6">"E-INVOICE(AP DIRECT)"</f>
        <v>E-INVOICE(AP DIRECT)</v>
      </c>
      <c r="AC24" s="37">
        <f t="shared" ref="AC24:AC32" si="7">IFERROR(AD24/AA24,0)</f>
        <v>426.43999999999994</v>
      </c>
      <c r="AD24" s="37">
        <v>17057.599999999999</v>
      </c>
      <c r="AE24" s="63" t="str">
        <f t="shared" ref="AE24:AE30" si="8">"-"</f>
        <v>-</v>
      </c>
      <c r="AF24" s="37">
        <v>17057.599999999999</v>
      </c>
      <c r="AG24" s="63" t="s">
        <v>95</v>
      </c>
      <c r="AH24" s="67" t="str">
        <f>"NANDINI DEVI_x000D_SYNAPXE PTE. LTD. 6 SERANGOON NORTH AVENUE 5, #01-01/02 SINGAPORE 554910_x000D_NANDINI DEVI_x000D_TEL: 84989294_x000D_FAX: _x000D_EMAIL: nandini.sivasubramaniam@synapxe.sg"</f>
        <v>NANDINI DEVI_x000D_SYNAPXE PTE. LTD. 6 SERANGOON NORTH AVENUE 5, #01-01/02 SINGAPORE 554910_x000D_NANDINI DEVI_x000D_TEL: 84989294_x000D_FAX: _x000D_EMAIL: nandini.sivasubramaniam@synapxe.sg</v>
      </c>
      <c r="AI24" s="18"/>
      <c r="AJ24" s="63" t="s">
        <v>96</v>
      </c>
      <c r="AK24" s="4" t="str">
        <f>"MS77D-00110GLP"</f>
        <v>MS77D-00110GLP</v>
      </c>
      <c r="AL24" s="4" t="str">
        <f>"MS VSPROwMSDN ALNG LICSAPk MVL"</f>
        <v>MS VSPROwMSDN ALNG LICSAPk MVL</v>
      </c>
      <c r="AM24" s="4" t="s">
        <v>419</v>
      </c>
      <c r="AN24" s="4" t="s">
        <v>417</v>
      </c>
      <c r="AO24" s="4" t="s">
        <v>416</v>
      </c>
      <c r="AP24" s="4" t="str">
        <f t="shared" ref="AP24:AP25" si="9">"-"</f>
        <v>-</v>
      </c>
    </row>
    <row r="25" spans="1:42">
      <c r="A25" s="1" t="s">
        <v>187</v>
      </c>
      <c r="B25" s="1" t="str">
        <f t="shared" ref="B25:B30" si="10">IF(M25="","Hide","Show")</f>
        <v>Show</v>
      </c>
      <c r="C25" s="4" t="s">
        <v>48</v>
      </c>
      <c r="E25" s="13" t="str">
        <f>"""UICACS"","""",""SQL="",""2=DOCNUM"",""33033855"",""14=CUSTREF"",""8000008920"",""14=U_CUSTREF"",""8000008920"",""15=DOCDATE"",""3/1/2024"",""15=TAXDATE"",""3/1/2024"",""14=CARDCODE"",""CI0099-SGD"",""14=CARDNAME"",""SYNAPXE PTE. LTD."",""14=ITEMCODE"",""MSMX3-00115GLP"",""14=ITEMNAME"",""MS VS"&amp;"ENTSUBMSDN ALNG LICSAPk MVL"",""10=QUANTITY"",""3.000000"",""14=U_PONO"",""947796"",""15=U_PODATE"",""29/12/2023"",""10=U_TLINTCOS"",""0.000000"",""2=SLPCODE"",""56"",""14=SLPNAME"",""E0001-EL"",""14=MEMO"",""EUGENE LIM - ESU"",""14=CONTACTNAME"",""E-INVOICE(AP DIRECT)"",""10=LINETOTAL"","""&amp;"4467.210000"",""14=U_ENR"","""",""14=U_MSENR"",""S7138270"",""14=U_MSPCN"",""AD5A91AA"",""14=ADDRESS2"",""NANDINI DEVI_x000D_SYNAPXE PTE. LTD. 6 SERANGOON NORTH AVENUE 5, #01-01/02 SINGAPORE 554910_x000D_NANDINI DEVI_x000D_TEL: 84989294_x000D_FAX: _x000D_EMAIL: nandini.sivasubramaniam@synapxe.sg"""</f>
        <v>"UICACS","","SQL=","2=DOCNUM","33033855","14=CUSTREF","8000008920","14=U_CUSTREF","8000008920","15=DOCDATE","3/1/2024","15=TAXDATE","3/1/2024","14=CARDCODE","CI0099-SGD","14=CARDNAME","SYNAPXE PTE. LTD.","14=ITEMCODE","MSMX3-00115GLP","14=ITEMNAME","MS VSENTSUBMSDN ALNG LICSAPk MVL","10=QUANTITY","3.000000","14=U_PONO","947796","15=U_PODATE","29/12/2023","10=U_TLINTCOS","0.000000","2=SLPCODE","56","14=SLPNAME","E0001-EL","14=MEMO","EUGENE LIM - ESU","14=CONTACTNAME","E-INVOICE(AP DIRECT)","10=LINETOTAL","4467.210000","14=U_ENR","","14=U_MSENR","S7138270","14=U_MSPCN","AD5A91AA","14=ADDRESS2","NANDINI DEVI_x000D_SYNAPXE PTE. LTD. 6 SERANGOON NORTH AVENUE 5, #01-01/02 SINGAPORE 554910_x000D_NANDINI DEVI_x000D_TEL: 84989294_x000D_FAX: _x000D_EMAIL: nandini.sivasubramaniam@synapxe.sg"</v>
      </c>
      <c r="K25" s="4">
        <f t="shared" si="0"/>
        <v>1</v>
      </c>
      <c r="L25" s="4">
        <f t="shared" si="1"/>
        <v>2024</v>
      </c>
      <c r="M25" s="4">
        <v>33033855</v>
      </c>
      <c r="N25" s="38">
        <v>45294</v>
      </c>
      <c r="O25" s="4" t="str">
        <f t="shared" si="2"/>
        <v>S7138270</v>
      </c>
      <c r="P25" s="4" t="str">
        <f>"AD5A91AA"</f>
        <v>AD5A91AA</v>
      </c>
      <c r="Q25" s="4" t="str">
        <f t="shared" si="3"/>
        <v>CI0099-SGD</v>
      </c>
      <c r="R25" s="4" t="str">
        <f t="shared" si="4"/>
        <v>SYNAPXE PTE. LTD.</v>
      </c>
      <c r="S25" s="50" t="str">
        <f>"8000008920"</f>
        <v>8000008920</v>
      </c>
      <c r="T25" s="50">
        <v>45289</v>
      </c>
      <c r="U25" s="50" t="str">
        <f>"8000008920"</f>
        <v>8000008920</v>
      </c>
      <c r="V25" s="50">
        <v>45294</v>
      </c>
      <c r="W25" s="51">
        <f t="shared" si="5"/>
        <v>5</v>
      </c>
      <c r="X25" s="65" t="str">
        <f>"MSMX3-00115GLP"</f>
        <v>MSMX3-00115GLP</v>
      </c>
      <c r="Y25" s="65" t="str">
        <f>"MS VSENTSUBMSDN ALNG LICSAPk MVL"</f>
        <v>MS VSENTSUBMSDN ALNG LICSAPk MVL</v>
      </c>
      <c r="Z25" s="65" t="str">
        <f>"EUGENE LIM - ESU"</f>
        <v>EUGENE LIM - ESU</v>
      </c>
      <c r="AA25" s="60">
        <v>3</v>
      </c>
      <c r="AB25" s="65" t="str">
        <f t="shared" si="6"/>
        <v>E-INVOICE(AP DIRECT)</v>
      </c>
      <c r="AC25" s="37">
        <f t="shared" si="7"/>
        <v>1489.07</v>
      </c>
      <c r="AD25" s="37">
        <v>4467.21</v>
      </c>
      <c r="AE25" s="63" t="str">
        <f t="shared" si="8"/>
        <v>-</v>
      </c>
      <c r="AF25" s="37">
        <v>4467.21</v>
      </c>
      <c r="AG25" s="63" t="s">
        <v>95</v>
      </c>
      <c r="AH25" s="67" t="str">
        <f>"NANDINI DEVI_x000D_SYNAPXE PTE. LTD. 6 SERANGOON NORTH AVENUE 5, #01-01/02 SINGAPORE 554910_x000D_NANDINI DEVI_x000D_TEL: 84989294_x000D_FAX: _x000D_EMAIL: nandini.sivasubramaniam@synapxe.sg"</f>
        <v>NANDINI DEVI_x000D_SYNAPXE PTE. LTD. 6 SERANGOON NORTH AVENUE 5, #01-01/02 SINGAPORE 554910_x000D_NANDINI DEVI_x000D_TEL: 84989294_x000D_FAX: _x000D_EMAIL: nandini.sivasubramaniam@synapxe.sg</v>
      </c>
      <c r="AI25" s="18"/>
      <c r="AJ25" s="63" t="s">
        <v>96</v>
      </c>
      <c r="AK25" s="4" t="str">
        <f>"MSMX3-00115GLP"</f>
        <v>MSMX3-00115GLP</v>
      </c>
      <c r="AL25" s="4" t="str">
        <f>"MS VSENTSUBMSDN ALNG LICSAPk MVL"</f>
        <v>MS VSENTSUBMSDN ALNG LICSAPk MVL</v>
      </c>
      <c r="AM25" s="4" t="s">
        <v>419</v>
      </c>
      <c r="AN25" s="4" t="s">
        <v>417</v>
      </c>
      <c r="AO25" s="4" t="s">
        <v>416</v>
      </c>
      <c r="AP25" s="4" t="str">
        <f t="shared" si="9"/>
        <v>-</v>
      </c>
    </row>
    <row r="26" spans="1:42">
      <c r="A26" s="1" t="s">
        <v>187</v>
      </c>
      <c r="B26" s="1" t="str">
        <f t="shared" si="10"/>
        <v>Show</v>
      </c>
      <c r="C26" s="4" t="s">
        <v>48</v>
      </c>
      <c r="E26" s="13" t="str">
        <f>"""UICACS"","""",""SQL="",""2=DOCNUM"",""33033861"",""14=CUSTREF"",""8000008889"",""14=U_CUSTREF"",""8000008889"",""15=DOCDATE"",""3/1/2024"",""15=TAXDATE"",""3/1/2024"",""14=CARDCODE"",""CI0099-SGD"",""14=CARDNAME"",""SYNAPXE PTE. LTD."",""14=ITEMCODE"",""MS7JQ-00355GLP"",""14=ITEMNAME"",""MS SQ"&amp;"LSVRENTCORE SNGL SA MVL 2LIC CORELIC"",""10=QUANTITY"",""2.000000"",""14=U_PONO"",""947811"",""15=U_PODATE"",""2/1/2024"",""10=U_TLINTCOS"",""0.000000"",""2=SLPCODE"",""132"",""14=SLPNAME"",""E0001-CS"",""14=MEMO"",""WENDY KUM CHIOU SZE"",""14=CONTACTNAME"",""E-INVOICE(AP DIRECT)"",""10=L"&amp;"INETOTAL"",""16804.380000"",""14=U_ENR"","""",""14=U_MSENR"",""S7138270"",""14=U_MSPCN"",""AD5A91AA"",""14=ADDRESS2"",""THOMAS NG_x000D_SYNAPXE PTE. LTD. 6 SERANGOON NORTH AVE 5, #01-01/02 SINGAPORE 554910_x000D_THOMAS NG_x000D_TEL: 90104125_x000D_FAX: _x000D_EMAIL: ng.kian.leong@SYNAPXE.SG"""</f>
        <v>"UICACS","","SQL=","2=DOCNUM","33033861","14=CUSTREF","8000008889","14=U_CUSTREF","8000008889","15=DOCDATE","3/1/2024","15=TAXDATE","3/1/2024","14=CARDCODE","CI0099-SGD","14=CARDNAME","SYNAPXE PTE. LTD.","14=ITEMCODE","MS7JQ-00355GLP","14=ITEMNAME","MS SQLSVRENTCORE SNGL SA MVL 2LIC CORELIC","10=QUANTITY","2.000000","14=U_PONO","947811","15=U_PODATE","2/1/2024","10=U_TLINTCOS","0.000000","2=SLPCODE","132","14=SLPNAME","E0001-CS","14=MEMO","WENDY KUM CHIOU SZE","14=CONTACTNAME","E-INVOICE(AP DIRECT)","10=LINETOTAL","16804.380000","14=U_ENR","","14=U_MSENR","S7138270","14=U_MSPCN","AD5A91AA","14=ADDRESS2","THOMAS NG_x000D_SYNAPXE PTE. LTD. 6 SERANGOON NORTH AVE 5, #01-01/02 SINGAPORE 554910_x000D_THOMAS NG_x000D_TEL: 90104125_x000D_FAX: _x000D_EMAIL: ng.kian.leong@SYNAPXE.SG"</v>
      </c>
      <c r="K26" s="4">
        <f t="shared" si="0"/>
        <v>1</v>
      </c>
      <c r="L26" s="4">
        <f t="shared" si="1"/>
        <v>2024</v>
      </c>
      <c r="M26" s="4">
        <v>33033861</v>
      </c>
      <c r="N26" s="38">
        <v>45294</v>
      </c>
      <c r="O26" s="4" t="str">
        <f t="shared" si="2"/>
        <v>S7138270</v>
      </c>
      <c r="P26" s="4" t="str">
        <f>"AD5A91AA"</f>
        <v>AD5A91AA</v>
      </c>
      <c r="Q26" s="4" t="str">
        <f t="shared" si="3"/>
        <v>CI0099-SGD</v>
      </c>
      <c r="R26" s="4" t="str">
        <f t="shared" si="4"/>
        <v>SYNAPXE PTE. LTD.</v>
      </c>
      <c r="S26" s="50" t="str">
        <f>"8000008889"</f>
        <v>8000008889</v>
      </c>
      <c r="T26" s="50">
        <v>45293</v>
      </c>
      <c r="U26" s="50" t="str">
        <f>"8000008889"</f>
        <v>8000008889</v>
      </c>
      <c r="V26" s="50">
        <v>45294</v>
      </c>
      <c r="W26" s="51">
        <f t="shared" si="5"/>
        <v>1</v>
      </c>
      <c r="X26" s="65" t="str">
        <f>"MS7JQ-00355GLP"</f>
        <v>MS7JQ-00355GLP</v>
      </c>
      <c r="Y26" s="65" t="str">
        <f>"MS SQLSVRENTCORE SNGL SA MVL 2LIC CORELIC"</f>
        <v>MS SQLSVRENTCORE SNGL SA MVL 2LIC CORELIC</v>
      </c>
      <c r="Z26" s="65" t="str">
        <f>"WENDY KUM CHIOU SZE"</f>
        <v>WENDY KUM CHIOU SZE</v>
      </c>
      <c r="AA26" s="60">
        <v>2</v>
      </c>
      <c r="AB26" s="65" t="str">
        <f t="shared" si="6"/>
        <v>E-INVOICE(AP DIRECT)</v>
      </c>
      <c r="AC26" s="37">
        <f t="shared" si="7"/>
        <v>8402.19</v>
      </c>
      <c r="AD26" s="37">
        <v>16804.38</v>
      </c>
      <c r="AE26" s="63" t="str">
        <f t="shared" si="8"/>
        <v>-</v>
      </c>
      <c r="AF26" s="37">
        <v>16804.38</v>
      </c>
      <c r="AG26" s="63" t="s">
        <v>95</v>
      </c>
      <c r="AH26" s="67" t="str">
        <f>"THOMAS NG_x000D_SYNAPXE PTE. LTD. 6 SERANGOON NORTH AVE 5, #01-01/02 SINGAPORE 554910_x000D_THOMAS NG_x000D_TEL: 90104125_x000D_FAX: _x000D_EMAIL: ng.kian.leong@SYNAPXE.SG"</f>
        <v>THOMAS NG_x000D_SYNAPXE PTE. LTD. 6 SERANGOON NORTH AVE 5, #01-01/02 SINGAPORE 554910_x000D_THOMAS NG_x000D_TEL: 90104125_x000D_FAX: _x000D_EMAIL: ng.kian.leong@SYNAPXE.SG</v>
      </c>
      <c r="AI26" s="18"/>
      <c r="AJ26" s="63" t="s">
        <v>96</v>
      </c>
      <c r="AK26" s="4" t="str">
        <f>"MS7JQ-00355GLP"</f>
        <v>MS7JQ-00355GLP</v>
      </c>
      <c r="AL26" s="4" t="str">
        <f>"MS SQLSVRENTCORE SNGL SA MVL 2LIC CORELIC"</f>
        <v>MS SQLSVRENTCORE SNGL SA MVL 2LIC CORELIC</v>
      </c>
      <c r="AM26" s="4" t="s">
        <v>418</v>
      </c>
      <c r="AN26" s="4" t="s">
        <v>417</v>
      </c>
      <c r="AO26" s="4" t="s">
        <v>416</v>
      </c>
      <c r="AP26" s="4" t="str">
        <f>"-"</f>
        <v>-</v>
      </c>
    </row>
    <row r="27" spans="1:42">
      <c r="A27" s="1" t="s">
        <v>187</v>
      </c>
      <c r="B27" s="1" t="str">
        <f t="shared" si="10"/>
        <v>Show</v>
      </c>
      <c r="C27" s="4" t="s">
        <v>48</v>
      </c>
      <c r="E27" s="13" t="str">
        <f>"""UICACS"","""",""SQL="",""2=DOCNUM"",""33033886"",""14=CUSTREF"",""8000009124"",""14=U_CUSTREF"",""8000009124"",""15=DOCDATE"",""9/1/2024"",""15=TAXDATE"",""9/1/2024"",""14=CARDCODE"",""CI0099-SGD"",""14=CARDNAME"",""SYNAPXE PTE. LTD."",""14=ITEMCODE"",""MS9EA-00267GLP"",""14=ITEMNAME"",""MS WI"&amp;"NSVRDCCORE SNGL LICSAPK MVL 2LIC CORELIC"",""10=QUANTITY"",""24.000000"",""14=U_PONO"",""947888"",""15=U_PODATE"",""8/1/2024"",""10=U_TLINTCOS"",""0.000000"",""2=SLPCODE"",""101"",""14=SLPNAME"",""E0001-MM"",""14=MEMO"",""MELIZA MARQUEZ"",""14=CONTACTNAME"",""E-INVOICE(AP DIRECT)"",""10=L"&amp;"INETOTAL"",""29823.360000"",""14=U_ENR"","""",""14=U_MSENR"",""S7138270"",""14=U_MSPCN"",""871D43D1"",""14=ADDRESS2"",""SYNAPXE PTE LTD _x000D_6 SERANGOON NORTH AVENUE 5, _x000D_#01-01/02  _x000D_SINGAPORE 554910_x000D_ATTN: RICHARD LI JIANCHENG_x000D_TEL: 93397612_x000D_EMAIL: li.jiancheng@synapxe.sg"""</f>
        <v>"UICACS","","SQL=","2=DOCNUM","33033886","14=CUSTREF","8000009124","14=U_CUSTREF","8000009124","15=DOCDATE","9/1/2024","15=TAXDATE","9/1/2024","14=CARDCODE","CI0099-SGD","14=CARDNAME","SYNAPXE PTE. LTD.","14=ITEMCODE","MS9EA-00267GLP","14=ITEMNAME","MS WINSVRDCCORE SNGL LICSAPK MVL 2LIC CORELIC","10=QUANTITY","24.000000","14=U_PONO","947888","15=U_PODATE","8/1/2024","10=U_TLINTCOS","0.000000","2=SLPCODE","101","14=SLPNAME","E0001-MM","14=MEMO","MELIZA MARQUEZ","14=CONTACTNAME","E-INVOICE(AP DIRECT)","10=LINETOTAL","29823.360000","14=U_ENR","","14=U_MSENR","S7138270","14=U_MSPCN","871D43D1","14=ADDRESS2","SYNAPXE PTE LTD _x000D_6 SERANGOON NORTH AVENUE 5, _x000D_#01-01/02  _x000D_SINGAPORE 554910_x000D_ATTN: RICHARD LI JIANCHENG_x000D_TEL: 93397612_x000D_EMAIL: li.jiancheng@synapxe.sg"</v>
      </c>
      <c r="K27" s="4">
        <f t="shared" si="0"/>
        <v>1</v>
      </c>
      <c r="L27" s="4">
        <f t="shared" si="1"/>
        <v>2024</v>
      </c>
      <c r="M27" s="4">
        <v>33033886</v>
      </c>
      <c r="N27" s="38">
        <v>45300</v>
      </c>
      <c r="O27" s="4" t="str">
        <f t="shared" si="2"/>
        <v>S7138270</v>
      </c>
      <c r="P27" s="4" t="str">
        <f>"871D43D1"</f>
        <v>871D43D1</v>
      </c>
      <c r="Q27" s="4" t="str">
        <f t="shared" si="3"/>
        <v>CI0099-SGD</v>
      </c>
      <c r="R27" s="4" t="str">
        <f t="shared" si="4"/>
        <v>SYNAPXE PTE. LTD.</v>
      </c>
      <c r="S27" s="50" t="str">
        <f>"8000009124"</f>
        <v>8000009124</v>
      </c>
      <c r="T27" s="50">
        <v>45299</v>
      </c>
      <c r="U27" s="50" t="str">
        <f>"8000009124"</f>
        <v>8000009124</v>
      </c>
      <c r="V27" s="50">
        <v>45300</v>
      </c>
      <c r="W27" s="51">
        <f t="shared" si="5"/>
        <v>1</v>
      </c>
      <c r="X27" s="65" t="str">
        <f>"MS9EA-00267GLP"</f>
        <v>MS9EA-00267GLP</v>
      </c>
      <c r="Y27" s="65" t="str">
        <f>"MS WINSVRDCCORE SNGL LICSAPK MVL 2LIC CORELIC"</f>
        <v>MS WINSVRDCCORE SNGL LICSAPK MVL 2LIC CORELIC</v>
      </c>
      <c r="Z27" s="65" t="str">
        <f>"MELIZA MARQUEZ"</f>
        <v>MELIZA MARQUEZ</v>
      </c>
      <c r="AA27" s="60">
        <v>24</v>
      </c>
      <c r="AB27" s="65" t="str">
        <f t="shared" si="6"/>
        <v>E-INVOICE(AP DIRECT)</v>
      </c>
      <c r="AC27" s="37">
        <f t="shared" si="7"/>
        <v>1242.6400000000001</v>
      </c>
      <c r="AD27" s="37">
        <v>29823.360000000001</v>
      </c>
      <c r="AE27" s="63" t="str">
        <f t="shared" si="8"/>
        <v>-</v>
      </c>
      <c r="AF27" s="37">
        <v>29823.360000000001</v>
      </c>
      <c r="AG27" s="63" t="s">
        <v>95</v>
      </c>
      <c r="AH27" s="67" t="str">
        <f>"SYNAPXE PTE LTD _x000D_6 SERANGOON NORTH AVENUE 5, _x000D_#01-01/02  _x000D_SINGAPORE 554910_x000D_ATTN: RICHARD LI JIANCHENG_x000D_TEL: 93397612_x000D_EMAIL: li.jiancheng@synapxe.sg"</f>
        <v>SYNAPXE PTE LTD _x000D_6 SERANGOON NORTH AVENUE 5, _x000D_#01-01/02  _x000D_SINGAPORE 554910_x000D_ATTN: RICHARD LI JIANCHENG_x000D_TEL: 93397612_x000D_EMAIL: li.jiancheng@synapxe.sg</v>
      </c>
      <c r="AI27" s="18"/>
      <c r="AJ27" s="63" t="s">
        <v>96</v>
      </c>
      <c r="AK27" s="4" t="str">
        <f>"MS9EA-00267GLP"</f>
        <v>MS9EA-00267GLP</v>
      </c>
      <c r="AL27" s="4" t="str">
        <f>"MS WINSVRDCCORE SNGL LICSAPK MVL 2LIC CORELIC"</f>
        <v>MS WINSVRDCCORE SNGL LICSAPK MVL 2LIC CORELIC</v>
      </c>
      <c r="AM27" s="4" t="s">
        <v>420</v>
      </c>
      <c r="AN27" s="69">
        <v>45292</v>
      </c>
      <c r="AO27" s="70">
        <v>46387</v>
      </c>
      <c r="AP27" s="4" t="str">
        <f>"-"</f>
        <v>-</v>
      </c>
    </row>
    <row r="28" spans="1:42">
      <c r="A28" s="1" t="s">
        <v>187</v>
      </c>
      <c r="B28" s="1" t="str">
        <f t="shared" si="10"/>
        <v>Show</v>
      </c>
      <c r="C28" s="4" t="s">
        <v>48</v>
      </c>
      <c r="E28" s="13" t="str">
        <f>"""UICACS"","""",""SQL="",""2=DOCNUM"",""33033951"",""14=CUSTREF"",""8000009133"",""14=U_CUSTREF"",""8000009133"",""15=DOCDATE"",""17/1/2024"",""15=TAXDATE"",""17/1/2024"",""14=CARDCODE"",""CI0099-SGD"",""14=CARDNAME"",""SYNAPXE PTE. LTD."",""14=ITEMCODE"",""MS7JQ-00353GLP"",""14=ITEMNAME"",""MS "&amp;"SQLSVRENTCORE SNGL LICSAPK MVL 2LIC CORELIC"",""10=QUANTITY"",""4.000000"",""14=U_PONO"",""948034"",""15=U_PODATE"",""16/1/2024"",""10=U_TLINTCOS"",""0.000000"",""2=SLPCODE"",""132"",""14=SLPNAME"",""E0001-CS"",""14=MEMO"",""WENDY KUM CHIOU SZE"",""14=CONTACTNAME"",""E-INVOICE(AP DIRECT"&amp;")"",""10=LINETOTAL"",""86359.800000"",""14=U_ENR"","""",""14=U_MSENR"",""S7138270"",""14=U_MSPCN"",""AD5A91AA"",""14=ADDRESS2"",""LEE YOK YEE_x000D_SYNAPXE PTE LTD 6 SERANGOON NORTH AVE 5, #01-01/02 SINGAPORE 554910_x000D_LEE YOK YEE_x000D_TEL: _x000D_FAX: _x000D_EMAIL: LEE.YOK.YEE@SYNAPXE.SG"""</f>
        <v>"UICACS","","SQL=","2=DOCNUM","33033951","14=CUSTREF","8000009133","14=U_CUSTREF","8000009133","15=DOCDATE","17/1/2024","15=TAXDATE","17/1/2024","14=CARDCODE","CI0099-SGD","14=CARDNAME","SYNAPXE PTE. LTD.","14=ITEMCODE","MS7JQ-00353GLP","14=ITEMNAME","MS SQLSVRENTCORE SNGL LICSAPK MVL 2LIC CORELIC","10=QUANTITY","4.000000","14=U_PONO","948034","15=U_PODATE","16/1/2024","10=U_TLINTCOS","0.000000","2=SLPCODE","132","14=SLPNAME","E0001-CS","14=MEMO","WENDY KUM CHIOU SZE","14=CONTACTNAME","E-INVOICE(AP DIRECT)","10=LINETOTAL","86359.800000","14=U_ENR","","14=U_MSENR","S7138270","14=U_MSPCN","AD5A91AA","14=ADDRESS2","LEE YOK YEE_x000D_SYNAPXE PTE LTD 6 SERANGOON NORTH AVE 5, #01-01/02 SINGAPORE 554910_x000D_LEE YOK YEE_x000D_TEL: _x000D_FAX: _x000D_EMAIL: LEE.YOK.YEE@SYNAPXE.SG"</v>
      </c>
      <c r="K28" s="4">
        <f t="shared" si="0"/>
        <v>1</v>
      </c>
      <c r="L28" s="4">
        <f t="shared" si="1"/>
        <v>2024</v>
      </c>
      <c r="M28" s="4">
        <v>33033951</v>
      </c>
      <c r="N28" s="38">
        <v>45308</v>
      </c>
      <c r="O28" s="4" t="str">
        <f t="shared" si="2"/>
        <v>S7138270</v>
      </c>
      <c r="P28" s="4" t="str">
        <f>"AD5A91AA"</f>
        <v>AD5A91AA</v>
      </c>
      <c r="Q28" s="4" t="str">
        <f t="shared" si="3"/>
        <v>CI0099-SGD</v>
      </c>
      <c r="R28" s="4" t="str">
        <f t="shared" si="4"/>
        <v>SYNAPXE PTE. LTD.</v>
      </c>
      <c r="S28" s="50" t="str">
        <f>"8000009133"</f>
        <v>8000009133</v>
      </c>
      <c r="T28" s="50">
        <v>45307</v>
      </c>
      <c r="U28" s="50" t="str">
        <f>"8000009133"</f>
        <v>8000009133</v>
      </c>
      <c r="V28" s="50">
        <v>45308</v>
      </c>
      <c r="W28" s="51">
        <f t="shared" si="5"/>
        <v>1</v>
      </c>
      <c r="X28" s="65" t="str">
        <f>"MS7JQ-00353GLP"</f>
        <v>MS7JQ-00353GLP</v>
      </c>
      <c r="Y28" s="65" t="str">
        <f>"MS SQLSVRENTCORE SNGL LICSAPK MVL 2LIC CORELIC"</f>
        <v>MS SQLSVRENTCORE SNGL LICSAPK MVL 2LIC CORELIC</v>
      </c>
      <c r="Z28" s="65" t="str">
        <f>"WENDY KUM CHIOU SZE"</f>
        <v>WENDY KUM CHIOU SZE</v>
      </c>
      <c r="AA28" s="60">
        <v>4</v>
      </c>
      <c r="AB28" s="65" t="str">
        <f t="shared" si="6"/>
        <v>E-INVOICE(AP DIRECT)</v>
      </c>
      <c r="AC28" s="37">
        <f t="shared" si="7"/>
        <v>21589.95</v>
      </c>
      <c r="AD28" s="37">
        <v>86359.8</v>
      </c>
      <c r="AE28" s="63" t="str">
        <f t="shared" si="8"/>
        <v>-</v>
      </c>
      <c r="AF28" s="37">
        <v>86359.8</v>
      </c>
      <c r="AG28" s="63" t="s">
        <v>95</v>
      </c>
      <c r="AH28" s="67" t="str">
        <f>"LEE YOK YEE_x000D_SYNAPXE PTE LTD 6 SERANGOON NORTH AVE 5, #01-01/02 SINGAPORE 554910_x000D_LEE YOK YEE_x000D_TEL: _x000D_FAX: _x000D_EMAIL: LEE.YOK.YEE@SYNAPXE.SG"</f>
        <v>LEE YOK YEE_x000D_SYNAPXE PTE LTD 6 SERANGOON NORTH AVE 5, #01-01/02 SINGAPORE 554910_x000D_LEE YOK YEE_x000D_TEL: _x000D_FAX: _x000D_EMAIL: LEE.YOK.YEE@SYNAPXE.SG</v>
      </c>
      <c r="AI28" s="18"/>
      <c r="AJ28" s="63" t="s">
        <v>96</v>
      </c>
      <c r="AK28" s="4" t="str">
        <f>"MS7JQ-00353GLP"</f>
        <v>MS7JQ-00353GLP</v>
      </c>
      <c r="AL28" s="4" t="str">
        <f>"MS SQLSVRENTCORE SNGL LICSAPK MVL 2LIC CORELIC"</f>
        <v>MS SQLSVRENTCORE SNGL LICSAPK MVL 2LIC CORELIC</v>
      </c>
      <c r="AM28" s="4" t="s">
        <v>419</v>
      </c>
      <c r="AN28" s="4" t="s">
        <v>417</v>
      </c>
      <c r="AO28" s="4" t="s">
        <v>416</v>
      </c>
      <c r="AP28" s="4" t="str">
        <f>"-"</f>
        <v>-</v>
      </c>
    </row>
    <row r="29" spans="1:42">
      <c r="A29" s="1" t="s">
        <v>187</v>
      </c>
      <c r="B29" s="1" t="str">
        <f t="shared" si="10"/>
        <v>Show</v>
      </c>
      <c r="C29" s="4" t="s">
        <v>48</v>
      </c>
      <c r="E29" s="13" t="str">
        <f>"""UICACS"","""",""SQL="",""2=DOCNUM"",""33033962"",""14=CUSTREF"",""8000009145"",""14=U_CUSTREF"",""8000009145"",""15=DOCDATE"",""18/1/2024"",""15=TAXDATE"",""18/1/2024"",""14=CARDCODE"",""CI0099-SGD"",""14=CARDNAME"",""SYNAPXE PTE. LTD."",""14=ITEMCODE"",""MS6VC-01288GLP"",""14=ITEMNAME"",""MS "&amp;"WIN REMOTE DESKTOP SERVICES CAL SLNG LSA UCAL"",""10=QUANTITY"",""130.000000"",""14=U_PONO"",""948085"",""15=U_PODATE"",""17/1/2024"",""10=U_TLINTCOS"",""0.000000"",""2=SLPCODE"",""132"",""14=SLPNAME"",""E0001-CS"",""14=MEMO"",""WENDY KUM CHIOU SZE"",""14=CONTACTNAME"",""E-INVOICE(AP DI"&amp;"RECT)"",""10=LINETOTAL"",""27323.400000"",""14=U_ENR"","""",""14=U_MSENR"",""S7138270"",""14=U_MSPCN"",""AD5A91AA"",""14=ADDRESS2"",""KEVIN HOO_x000D_SYNAPXE PTE. LTD. 6 SERANGOON NORTH AVENUE 5 #01-01/02 SINGAPORE 554910_x000D_KEVIN HOO_x000D_TEL: _x000D_FAX: _x000D_EMAIL: kevin.hoo@synapxe.sg"""</f>
        <v>"UICACS","","SQL=","2=DOCNUM","33033962","14=CUSTREF","8000009145","14=U_CUSTREF","8000009145","15=DOCDATE","18/1/2024","15=TAXDATE","18/1/2024","14=CARDCODE","CI0099-SGD","14=CARDNAME","SYNAPXE PTE. LTD.","14=ITEMCODE","MS6VC-01288GLP","14=ITEMNAME","MS WIN REMOTE DESKTOP SERVICES CAL SLNG LSA UCAL","10=QUANTITY","130.000000","14=U_PONO","948085","15=U_PODATE","17/1/2024","10=U_TLINTCOS","0.000000","2=SLPCODE","132","14=SLPNAME","E0001-CS","14=MEMO","WENDY KUM CHIOU SZE","14=CONTACTNAME","E-INVOICE(AP DIRECT)","10=LINETOTAL","27323.400000","14=U_ENR","","14=U_MSENR","S7138270","14=U_MSPCN","AD5A91AA","14=ADDRESS2","KEVIN HOO_x000D_SYNAPXE PTE. LTD. 6 SERANGOON NORTH AVENUE 5 #01-01/02 SINGAPORE 554910_x000D_KEVIN HOO_x000D_TEL: _x000D_FAX: _x000D_EMAIL: kevin.hoo@synapxe.sg"</v>
      </c>
      <c r="K29" s="4">
        <f t="shared" si="0"/>
        <v>1</v>
      </c>
      <c r="L29" s="4">
        <f t="shared" si="1"/>
        <v>2024</v>
      </c>
      <c r="M29" s="4">
        <v>33033962</v>
      </c>
      <c r="N29" s="38">
        <v>45309</v>
      </c>
      <c r="O29" s="4" t="str">
        <f t="shared" si="2"/>
        <v>S7138270</v>
      </c>
      <c r="P29" s="4" t="str">
        <f>"AD5A91AA"</f>
        <v>AD5A91AA</v>
      </c>
      <c r="Q29" s="4" t="str">
        <f t="shared" si="3"/>
        <v>CI0099-SGD</v>
      </c>
      <c r="R29" s="4" t="str">
        <f t="shared" si="4"/>
        <v>SYNAPXE PTE. LTD.</v>
      </c>
      <c r="S29" s="50" t="str">
        <f>"8000009145"</f>
        <v>8000009145</v>
      </c>
      <c r="T29" s="50">
        <v>45308</v>
      </c>
      <c r="U29" s="50" t="str">
        <f>"8000009145"</f>
        <v>8000009145</v>
      </c>
      <c r="V29" s="50">
        <v>45309</v>
      </c>
      <c r="W29" s="51">
        <f t="shared" si="5"/>
        <v>1</v>
      </c>
      <c r="X29" s="65" t="str">
        <f>"MS6VC-01288GLP"</f>
        <v>MS6VC-01288GLP</v>
      </c>
      <c r="Y29" s="65" t="str">
        <f>"MS WIN REMOTE DESKTOP SERVICES CAL SLNG LSA UCAL"</f>
        <v>MS WIN REMOTE DESKTOP SERVICES CAL SLNG LSA UCAL</v>
      </c>
      <c r="Z29" s="65" t="str">
        <f>"WENDY KUM CHIOU SZE"</f>
        <v>WENDY KUM CHIOU SZE</v>
      </c>
      <c r="AA29" s="60">
        <v>130</v>
      </c>
      <c r="AB29" s="65" t="str">
        <f t="shared" si="6"/>
        <v>E-INVOICE(AP DIRECT)</v>
      </c>
      <c r="AC29" s="37">
        <f t="shared" si="7"/>
        <v>210.18</v>
      </c>
      <c r="AD29" s="37">
        <v>27323.4</v>
      </c>
      <c r="AE29" s="63" t="str">
        <f t="shared" si="8"/>
        <v>-</v>
      </c>
      <c r="AF29" s="37">
        <v>27323.4</v>
      </c>
      <c r="AG29" s="63" t="s">
        <v>95</v>
      </c>
      <c r="AH29" s="67" t="str">
        <f>"KEVIN HOO_x000D_SYNAPXE PTE. LTD. 6 SERANGOON NORTH AVENUE 5 #01-01/02 SINGAPORE 554910_x000D_KEVIN HOO_x000D_TEL: _x000D_FAX: _x000D_EMAIL: kevin.hoo@synapxe.sg"</f>
        <v>KEVIN HOO_x000D_SYNAPXE PTE. LTD. 6 SERANGOON NORTH AVENUE 5 #01-01/02 SINGAPORE 554910_x000D_KEVIN HOO_x000D_TEL: _x000D_FAX: _x000D_EMAIL: kevin.hoo@synapxe.sg</v>
      </c>
      <c r="AI29" s="18"/>
      <c r="AJ29" s="63" t="s">
        <v>96</v>
      </c>
      <c r="AK29" s="4" t="str">
        <f>"MS6VC-01288GLP"</f>
        <v>MS6VC-01288GLP</v>
      </c>
      <c r="AL29" s="4" t="str">
        <f>"MS WIN REMOTE DESKTOP SERVICES CAL SLNG LSA UCAL"</f>
        <v>MS WIN REMOTE DESKTOP SERVICES CAL SLNG LSA UCAL</v>
      </c>
      <c r="AM29" s="4" t="s">
        <v>419</v>
      </c>
      <c r="AN29" s="4" t="s">
        <v>417</v>
      </c>
      <c r="AO29" s="4" t="s">
        <v>416</v>
      </c>
      <c r="AP29" s="4" t="str">
        <f>"-"</f>
        <v>-</v>
      </c>
    </row>
    <row r="30" spans="1:42">
      <c r="A30" s="1" t="s">
        <v>187</v>
      </c>
      <c r="B30" s="1" t="str">
        <f t="shared" si="10"/>
        <v>Show</v>
      </c>
      <c r="C30" s="4" t="s">
        <v>48</v>
      </c>
      <c r="E30" s="13" t="str">
        <f>"""UICACS"","""",""SQL="",""2=DOCNUM"",""33034011"",""14=CUSTREF"",""8000009158"",""14=U_CUSTREF"",""8000009158"",""15=DOCDATE"",""25/1/2024"",""15=TAXDATE"",""25/1/2024"",""14=CARDCODE"",""CI0099-SGD"",""14=CARDNAME"",""SYNAPXE PTE. LTD."",""14=ITEMCODE"",""MS3VU-00043GLP"",""14=ITEMNAME"",""MS "&amp;"MSDNPLTFRMS ALNG LICSAPK MVL"",""10=QUANTITY"",""2.000000"",""14=U_PONO"",""948185"",""15=U_PODATE"",""24/1/2024"",""10=U_TLINTCOS"",""0.000000"",""2=SLPCODE"",""132"",""14=SLPNAME"",""E0001-CS"",""14=MEMO"",""WENDY KUM CHIOU SZE"",""14=CONTACTNAME"",""E-INVOICE(AP DIRECT)"",""10=LINETOTA"&amp;"L"",""5297.020000"",""14=U_ENR"","""",""14=U_MSENR"",""S7138270"",""14=U_MSPCN"",""AD5A91AA"",""14=ADDRESS2"",""HERMANT JOSHI_x000D_SYNAPXE PTE. LTD. 6 SERANGOON NORTH AVE 5, #01-01/02 SINGAPORE 554910_x000D_HERMANT JOSHI_x000D_TEL: 81846105_x000D_FAX: _x000D_EMAIL: hemant.joshi@synapxe.sg"""</f>
        <v>"UICACS","","SQL=","2=DOCNUM","33034011","14=CUSTREF","8000009158","14=U_CUSTREF","8000009158","15=DOCDATE","25/1/2024","15=TAXDATE","25/1/2024","14=CARDCODE","CI0099-SGD","14=CARDNAME","SYNAPXE PTE. LTD.","14=ITEMCODE","MS3VU-00043GLP","14=ITEMNAME","MS MSDNPLTFRMS ALNG LICSAPK MVL","10=QUANTITY","2.000000","14=U_PONO","948185","15=U_PODATE","24/1/2024","10=U_TLINTCOS","0.000000","2=SLPCODE","132","14=SLPNAME","E0001-CS","14=MEMO","WENDY KUM CHIOU SZE","14=CONTACTNAME","E-INVOICE(AP DIRECT)","10=LINETOTAL","5297.020000","14=U_ENR","","14=U_MSENR","S7138270","14=U_MSPCN","AD5A91AA","14=ADDRESS2","HERMANT JOSHI_x000D_SYNAPXE PTE. LTD. 6 SERANGOON NORTH AVE 5, #01-01/02 SINGAPORE 554910_x000D_HERMANT JOSHI_x000D_TEL: 81846105_x000D_FAX: _x000D_EMAIL: hemant.joshi@synapxe.sg"</v>
      </c>
      <c r="K30" s="4">
        <f t="shared" si="0"/>
        <v>1</v>
      </c>
      <c r="L30" s="4">
        <f t="shared" si="1"/>
        <v>2024</v>
      </c>
      <c r="M30" s="4">
        <v>33034011</v>
      </c>
      <c r="N30" s="38">
        <v>45316</v>
      </c>
      <c r="O30" s="4" t="str">
        <f t="shared" si="2"/>
        <v>S7138270</v>
      </c>
      <c r="P30" s="4" t="str">
        <f>"AD5A91AA"</f>
        <v>AD5A91AA</v>
      </c>
      <c r="Q30" s="4" t="str">
        <f t="shared" si="3"/>
        <v>CI0099-SGD</v>
      </c>
      <c r="R30" s="4" t="str">
        <f t="shared" si="4"/>
        <v>SYNAPXE PTE. LTD.</v>
      </c>
      <c r="S30" s="50" t="str">
        <f>"8000009158"</f>
        <v>8000009158</v>
      </c>
      <c r="T30" s="50">
        <v>45315</v>
      </c>
      <c r="U30" s="50" t="str">
        <f>"8000009158"</f>
        <v>8000009158</v>
      </c>
      <c r="V30" s="50">
        <v>45316</v>
      </c>
      <c r="W30" s="51">
        <f t="shared" si="5"/>
        <v>1</v>
      </c>
      <c r="X30" s="65" t="str">
        <f>"MS3VU-00043GLP"</f>
        <v>MS3VU-00043GLP</v>
      </c>
      <c r="Y30" s="65" t="str">
        <f>"MS MSDNPLTFRMS ALNG LICSAPK MVL"</f>
        <v>MS MSDNPLTFRMS ALNG LICSAPK MVL</v>
      </c>
      <c r="Z30" s="65" t="str">
        <f>"WENDY KUM CHIOU SZE"</f>
        <v>WENDY KUM CHIOU SZE</v>
      </c>
      <c r="AA30" s="60">
        <v>2</v>
      </c>
      <c r="AB30" s="65" t="str">
        <f t="shared" si="6"/>
        <v>E-INVOICE(AP DIRECT)</v>
      </c>
      <c r="AC30" s="37">
        <f t="shared" si="7"/>
        <v>2648.51</v>
      </c>
      <c r="AD30" s="37">
        <v>5297.02</v>
      </c>
      <c r="AE30" s="63" t="str">
        <f t="shared" si="8"/>
        <v>-</v>
      </c>
      <c r="AF30" s="37">
        <v>5297.02</v>
      </c>
      <c r="AG30" s="63" t="s">
        <v>95</v>
      </c>
      <c r="AH30" s="67" t="str">
        <f>"HERMANT JOSHI_x000D_SYNAPXE PTE. LTD. 6 SERANGOON NORTH AVE 5, #01-01/02 SINGAPORE 554910_x000D_HERMANT JOSHI_x000D_TEL: 81846105_x000D_FAX: _x000D_EMAIL: hemant.joshi@synapxe.sg"</f>
        <v>HERMANT JOSHI_x000D_SYNAPXE PTE. LTD. 6 SERANGOON NORTH AVE 5, #01-01/02 SINGAPORE 554910_x000D_HERMANT JOSHI_x000D_TEL: 81846105_x000D_FAX: _x000D_EMAIL: hemant.joshi@synapxe.sg</v>
      </c>
      <c r="AI30" s="18"/>
      <c r="AJ30" s="63" t="s">
        <v>96</v>
      </c>
      <c r="AK30" s="4" t="str">
        <f>"MS3VU-00043GLP"</f>
        <v>MS3VU-00043GLP</v>
      </c>
      <c r="AL30" s="4" t="str">
        <f>"MS MSDNPLTFRMS ALNG LICSAPK MVL"</f>
        <v>MS MSDNPLTFRMS ALNG LICSAPK MVL</v>
      </c>
      <c r="AM30" s="4" t="s">
        <v>419</v>
      </c>
      <c r="AN30" s="4" t="s">
        <v>417</v>
      </c>
      <c r="AO30" s="4" t="s">
        <v>416</v>
      </c>
      <c r="AP30" s="4" t="str">
        <f>"-"</f>
        <v>-</v>
      </c>
    </row>
    <row r="31" spans="1:42" hidden="1">
      <c r="B31" s="1" t="str">
        <f>IF(M31="","Hide","Show")</f>
        <v>Hide</v>
      </c>
      <c r="C31" s="4" t="s">
        <v>49</v>
      </c>
      <c r="E31" s="13" t="str">
        <f>""</f>
        <v/>
      </c>
      <c r="M31" s="4" t="str">
        <f>""</f>
        <v/>
      </c>
      <c r="N31" s="38" t="str">
        <f>""</f>
        <v/>
      </c>
      <c r="O31" s="4" t="str">
        <f>""</f>
        <v/>
      </c>
      <c r="P31" s="4"/>
      <c r="Q31" s="4" t="str">
        <f>""</f>
        <v/>
      </c>
      <c r="R31" s="4" t="str">
        <f>""</f>
        <v/>
      </c>
      <c r="T31" s="45" t="str">
        <f>""</f>
        <v/>
      </c>
      <c r="U31" s="45" t="str">
        <f>""</f>
        <v/>
      </c>
      <c r="V31" s="52"/>
      <c r="W31" s="52"/>
      <c r="X31" s="4" t="str">
        <f>""</f>
        <v/>
      </c>
      <c r="Y31" s="4" t="str">
        <f>""</f>
        <v/>
      </c>
      <c r="Z31" s="4" t="str">
        <f>""</f>
        <v/>
      </c>
      <c r="AA31" s="60" t="str">
        <f>""</f>
        <v/>
      </c>
      <c r="AB31" s="4" t="str">
        <f>""</f>
        <v/>
      </c>
      <c r="AC31" s="37">
        <f t="shared" si="7"/>
        <v>0</v>
      </c>
      <c r="AD31" s="37" t="str">
        <f>""</f>
        <v/>
      </c>
      <c r="AE31" s="63"/>
      <c r="AF31" s="18"/>
      <c r="AG31" s="63"/>
      <c r="AH31" s="18" t="str">
        <f>""</f>
        <v/>
      </c>
      <c r="AI31" s="18"/>
      <c r="AJ31" s="63"/>
      <c r="AK31" s="18"/>
      <c r="AL31" s="5" t="str">
        <f>""</f>
        <v/>
      </c>
      <c r="AM31" s="4" t="str">
        <f>""</f>
        <v/>
      </c>
    </row>
    <row r="32" spans="1:42" hidden="1">
      <c r="B32" s="1" t="str">
        <f>IF(M32="","Hide","Show")</f>
        <v>Hide</v>
      </c>
      <c r="C32" s="4" t="s">
        <v>50</v>
      </c>
      <c r="E32" s="13" t="str">
        <f>""</f>
        <v/>
      </c>
      <c r="M32" s="4" t="str">
        <f>""</f>
        <v/>
      </c>
      <c r="N32" s="38" t="str">
        <f>""</f>
        <v/>
      </c>
      <c r="O32" s="4" t="str">
        <f>""</f>
        <v/>
      </c>
      <c r="P32" s="4"/>
      <c r="Q32" s="4" t="str">
        <f>""</f>
        <v/>
      </c>
      <c r="R32" s="4" t="str">
        <f>""</f>
        <v/>
      </c>
      <c r="T32" s="45" t="str">
        <f>""</f>
        <v/>
      </c>
      <c r="U32" s="45" t="str">
        <f>""</f>
        <v/>
      </c>
      <c r="V32" s="52"/>
      <c r="W32" s="52"/>
      <c r="X32" s="4" t="str">
        <f>""</f>
        <v/>
      </c>
      <c r="Y32" s="4" t="str">
        <f>""</f>
        <v/>
      </c>
      <c r="Z32" s="4" t="str">
        <f>""</f>
        <v/>
      </c>
      <c r="AA32" s="60" t="str">
        <f>""</f>
        <v/>
      </c>
      <c r="AB32" s="4" t="str">
        <f>""</f>
        <v/>
      </c>
      <c r="AC32" s="37">
        <f t="shared" si="7"/>
        <v>0</v>
      </c>
      <c r="AD32" s="37" t="str">
        <f>""</f>
        <v/>
      </c>
      <c r="AE32" s="63"/>
      <c r="AF32" s="18"/>
      <c r="AG32" s="63"/>
      <c r="AH32" s="18"/>
      <c r="AI32" s="18"/>
      <c r="AJ32" s="63"/>
      <c r="AK32" s="18"/>
      <c r="AL32" s="5" t="str">
        <f>""</f>
        <v/>
      </c>
      <c r="AM32" s="4" t="str">
        <f>""</f>
        <v/>
      </c>
    </row>
    <row r="33" spans="29:59">
      <c r="AC33" s="37"/>
      <c r="AD33" s="37"/>
      <c r="AL33" s="5"/>
    </row>
    <row r="34" spans="29:59">
      <c r="AW34" s="16"/>
    </row>
    <row r="35" spans="29:59">
      <c r="AX35" s="16"/>
    </row>
    <row r="36" spans="29:59">
      <c r="AY36" s="16"/>
    </row>
    <row r="37" spans="29:59">
      <c r="AZ37" s="16"/>
    </row>
    <row r="38" spans="29:59">
      <c r="BA38" s="16"/>
    </row>
    <row r="39" spans="29:59">
      <c r="BB39" s="16"/>
    </row>
    <row r="40" spans="29:59">
      <c r="BC40" s="16"/>
    </row>
    <row r="41" spans="29:59">
      <c r="BD41" s="16"/>
    </row>
    <row r="42" spans="29:59">
      <c r="BE42" s="16"/>
    </row>
    <row r="43" spans="29:59">
      <c r="BF43" s="16"/>
    </row>
    <row r="44" spans="29:59">
      <c r="BG44" s="16"/>
    </row>
  </sheetData>
  <sortState xmlns:xlrd2="http://schemas.microsoft.com/office/spreadsheetml/2017/richdata2" ref="M24:AP396">
    <sortCondition ref="Q24:Q398"/>
  </sortState>
  <mergeCells count="1">
    <mergeCell ref="M21:AM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topLeftCell="B2"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75</v>
      </c>
    </row>
    <row r="2" spans="1:19">
      <c r="B2" s="28" t="s">
        <v>14</v>
      </c>
      <c r="C2" s="28" t="s">
        <v>16</v>
      </c>
      <c r="D2" s="28" t="s">
        <v>30</v>
      </c>
      <c r="E2" s="28" t="s">
        <v>31</v>
      </c>
      <c r="F2" s="28" t="s">
        <v>32</v>
      </c>
      <c r="G2" s="28" t="s">
        <v>33</v>
      </c>
      <c r="H2" s="28" t="s">
        <v>34</v>
      </c>
      <c r="I2" s="28" t="s">
        <v>35</v>
      </c>
      <c r="J2" s="28" t="s">
        <v>36</v>
      </c>
      <c r="K2" s="28" t="s">
        <v>12</v>
      </c>
      <c r="L2" s="28" t="s">
        <v>32</v>
      </c>
      <c r="M2" s="28" t="s">
        <v>13</v>
      </c>
      <c r="N2" s="28" t="s">
        <v>37</v>
      </c>
      <c r="O2" s="28" t="s">
        <v>38</v>
      </c>
      <c r="P2" s="29" t="s">
        <v>17</v>
      </c>
      <c r="Q2" s="28" t="s">
        <v>15</v>
      </c>
      <c r="R2" s="29" t="s">
        <v>57</v>
      </c>
      <c r="S2" s="30" t="s">
        <v>58</v>
      </c>
    </row>
    <row r="3" spans="1:19">
      <c r="B3" s="31" t="s">
        <v>59</v>
      </c>
      <c r="C3" s="32" t="s">
        <v>60</v>
      </c>
      <c r="D3" s="31" t="s">
        <v>39</v>
      </c>
      <c r="E3" s="31" t="s">
        <v>61</v>
      </c>
      <c r="F3" s="31" t="s">
        <v>62</v>
      </c>
      <c r="G3" s="31" t="s">
        <v>63</v>
      </c>
      <c r="H3" s="31" t="s">
        <v>64</v>
      </c>
      <c r="I3" s="31" t="s">
        <v>40</v>
      </c>
      <c r="J3" s="31" t="s">
        <v>65</v>
      </c>
      <c r="K3" s="31" t="s">
        <v>66</v>
      </c>
      <c r="L3" s="31" t="s">
        <v>67</v>
      </c>
      <c r="M3" s="31" t="s">
        <v>68</v>
      </c>
      <c r="N3" s="31" t="s">
        <v>69</v>
      </c>
      <c r="O3" s="31" t="s">
        <v>70</v>
      </c>
      <c r="P3" s="32" t="s">
        <v>71</v>
      </c>
      <c r="Q3" s="31" t="s">
        <v>72</v>
      </c>
      <c r="R3" s="33" t="e">
        <v>#VALUE!</v>
      </c>
      <c r="S3" s="33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3"/>
      <c r="S4" s="33"/>
    </row>
    <row r="5" spans="1:19" ht="195">
      <c r="B5" t="s">
        <v>74</v>
      </c>
      <c r="C5" s="27" t="s">
        <v>54</v>
      </c>
    </row>
    <row r="7" spans="1:19" ht="195">
      <c r="C7" s="27" t="s">
        <v>56</v>
      </c>
    </row>
    <row r="9" spans="1:19" ht="195">
      <c r="C9" s="2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41D4E-C574-49A6-9DED-380295E4D974}">
  <dimension ref="A1:E13"/>
  <sheetViews>
    <sheetView workbookViewId="0"/>
  </sheetViews>
  <sheetFormatPr defaultRowHeight="15"/>
  <sheetData>
    <row r="1" spans="1:5">
      <c r="A1" s="68" t="s">
        <v>104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203</v>
      </c>
    </row>
    <row r="4" spans="1:5">
      <c r="A4" s="68" t="s">
        <v>0</v>
      </c>
      <c r="B4" s="68" t="s">
        <v>6</v>
      </c>
      <c r="C4" s="68" t="s">
        <v>204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2C583-88C8-4BA5-B909-417A642969E7}">
  <dimension ref="A1:E13"/>
  <sheetViews>
    <sheetView workbookViewId="0"/>
  </sheetViews>
  <sheetFormatPr defaultRowHeight="15"/>
  <sheetData>
    <row r="1" spans="1:5">
      <c r="A1" s="68" t="s">
        <v>104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203</v>
      </c>
    </row>
    <row r="4" spans="1:5">
      <c r="A4" s="68" t="s">
        <v>0</v>
      </c>
      <c r="B4" s="68" t="s">
        <v>6</v>
      </c>
      <c r="C4" s="68" t="s">
        <v>204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51A7C-6271-4B61-9041-2C674B38DB95}">
  <dimension ref="A1:AV28"/>
  <sheetViews>
    <sheetView workbookViewId="0"/>
  </sheetViews>
  <sheetFormatPr defaultRowHeight="15"/>
  <sheetData>
    <row r="1" spans="1:48">
      <c r="A1" s="68" t="s">
        <v>186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125</v>
      </c>
      <c r="N24" s="68" t="s">
        <v>126</v>
      </c>
      <c r="O24" s="68" t="s">
        <v>127</v>
      </c>
      <c r="P24" s="68" t="s">
        <v>128</v>
      </c>
      <c r="Q24" s="68" t="s">
        <v>129</v>
      </c>
      <c r="R24" s="68" t="s">
        <v>130</v>
      </c>
      <c r="S24" s="68" t="s">
        <v>131</v>
      </c>
      <c r="T24" s="68" t="s">
        <v>132</v>
      </c>
      <c r="U24" s="68" t="s">
        <v>133</v>
      </c>
      <c r="V24" s="68" t="s">
        <v>134</v>
      </c>
      <c r="W24" s="68" t="s">
        <v>135</v>
      </c>
      <c r="X24" s="68" t="s">
        <v>136</v>
      </c>
      <c r="Y24" s="68" t="s">
        <v>137</v>
      </c>
      <c r="Z24" s="68" t="s">
        <v>138</v>
      </c>
      <c r="AA24" s="68" t="s">
        <v>139</v>
      </c>
      <c r="AB24" s="68" t="s">
        <v>140</v>
      </c>
      <c r="AC24" s="68" t="s">
        <v>141</v>
      </c>
      <c r="AD24" s="68" t="s">
        <v>142</v>
      </c>
      <c r="AE24" s="68" t="s">
        <v>143</v>
      </c>
      <c r="AF24" s="68" t="s">
        <v>142</v>
      </c>
      <c r="AG24" s="68" t="s">
        <v>95</v>
      </c>
      <c r="AH24" s="68" t="s">
        <v>144</v>
      </c>
      <c r="AJ24" s="68" t="s">
        <v>96</v>
      </c>
      <c r="AK24" s="68" t="s">
        <v>136</v>
      </c>
      <c r="AL24" s="68" t="s">
        <v>137</v>
      </c>
      <c r="AM24" s="68" t="s">
        <v>145</v>
      </c>
      <c r="AN24" s="68" t="s">
        <v>146</v>
      </c>
      <c r="AO24" s="68" t="s">
        <v>147</v>
      </c>
      <c r="AP24" s="68" t="s">
        <v>148</v>
      </c>
    </row>
    <row r="25" spans="1:42">
      <c r="B25" s="68" t="s">
        <v>149</v>
      </c>
      <c r="C25" s="68" t="s">
        <v>49</v>
      </c>
      <c r="E25" s="68" t="s">
        <v>150</v>
      </c>
      <c r="M25" s="68" t="s">
        <v>151</v>
      </c>
      <c r="N25" s="68" t="s">
        <v>152</v>
      </c>
      <c r="O25" s="68" t="s">
        <v>153</v>
      </c>
      <c r="Q25" s="68" t="s">
        <v>154</v>
      </c>
      <c r="R25" s="68" t="s">
        <v>155</v>
      </c>
      <c r="T25" s="68" t="s">
        <v>156</v>
      </c>
      <c r="U25" s="68" t="s">
        <v>157</v>
      </c>
      <c r="X25" s="68" t="s">
        <v>156</v>
      </c>
      <c r="Y25" s="68" t="s">
        <v>158</v>
      </c>
      <c r="Z25" s="68" t="s">
        <v>159</v>
      </c>
      <c r="AA25" s="68" t="s">
        <v>160</v>
      </c>
      <c r="AB25" s="68" t="s">
        <v>161</v>
      </c>
      <c r="AC25" s="68" t="s">
        <v>162</v>
      </c>
      <c r="AD25" s="68" t="s">
        <v>163</v>
      </c>
      <c r="AH25" s="68" t="s">
        <v>164</v>
      </c>
      <c r="AL25" s="68" t="s">
        <v>165</v>
      </c>
      <c r="AM25" s="68" t="s">
        <v>166</v>
      </c>
    </row>
    <row r="26" spans="1:42">
      <c r="B26" s="68" t="s">
        <v>167</v>
      </c>
      <c r="C26" s="68" t="s">
        <v>50</v>
      </c>
      <c r="E26" s="68" t="s">
        <v>168</v>
      </c>
      <c r="M26" s="68" t="s">
        <v>169</v>
      </c>
      <c r="N26" s="68" t="s">
        <v>170</v>
      </c>
      <c r="O26" s="68" t="s">
        <v>171</v>
      </c>
      <c r="Q26" s="68" t="s">
        <v>172</v>
      </c>
      <c r="R26" s="68" t="s">
        <v>173</v>
      </c>
      <c r="T26" s="68" t="s">
        <v>174</v>
      </c>
      <c r="U26" s="68" t="s">
        <v>175</v>
      </c>
      <c r="X26" s="68" t="s">
        <v>174</v>
      </c>
      <c r="Y26" s="68" t="s">
        <v>176</v>
      </c>
      <c r="Z26" s="68" t="s">
        <v>177</v>
      </c>
      <c r="AA26" s="68" t="s">
        <v>178</v>
      </c>
      <c r="AB26" s="68" t="s">
        <v>179</v>
      </c>
      <c r="AC26" s="68" t="s">
        <v>180</v>
      </c>
      <c r="AD26" s="68" t="s">
        <v>181</v>
      </c>
      <c r="AL26" s="68" t="s">
        <v>182</v>
      </c>
      <c r="AM26" s="68" t="s">
        <v>183</v>
      </c>
    </row>
    <row r="28" spans="1:42">
      <c r="AC28" s="68" t="s">
        <v>184</v>
      </c>
      <c r="AD28" s="68" t="s">
        <v>185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8C912-1BA4-46AD-89A9-1B1B7222B304}">
  <dimension ref="A1:AV28"/>
  <sheetViews>
    <sheetView workbookViewId="0"/>
  </sheetViews>
  <sheetFormatPr defaultRowHeight="15"/>
  <sheetData>
    <row r="1" spans="1:48">
      <c r="A1" s="68" t="s">
        <v>186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125</v>
      </c>
      <c r="N24" s="68" t="s">
        <v>126</v>
      </c>
      <c r="O24" s="68" t="s">
        <v>127</v>
      </c>
      <c r="P24" s="68" t="s">
        <v>128</v>
      </c>
      <c r="Q24" s="68" t="s">
        <v>129</v>
      </c>
      <c r="R24" s="68" t="s">
        <v>130</v>
      </c>
      <c r="S24" s="68" t="s">
        <v>131</v>
      </c>
      <c r="T24" s="68" t="s">
        <v>132</v>
      </c>
      <c r="U24" s="68" t="s">
        <v>133</v>
      </c>
      <c r="V24" s="68" t="s">
        <v>134</v>
      </c>
      <c r="W24" s="68" t="s">
        <v>135</v>
      </c>
      <c r="X24" s="68" t="s">
        <v>136</v>
      </c>
      <c r="Y24" s="68" t="s">
        <v>137</v>
      </c>
      <c r="Z24" s="68" t="s">
        <v>138</v>
      </c>
      <c r="AA24" s="68" t="s">
        <v>139</v>
      </c>
      <c r="AB24" s="68" t="s">
        <v>140</v>
      </c>
      <c r="AC24" s="68" t="s">
        <v>141</v>
      </c>
      <c r="AD24" s="68" t="s">
        <v>142</v>
      </c>
      <c r="AE24" s="68" t="s">
        <v>143</v>
      </c>
      <c r="AF24" s="68" t="s">
        <v>142</v>
      </c>
      <c r="AG24" s="68" t="s">
        <v>95</v>
      </c>
      <c r="AH24" s="68" t="s">
        <v>144</v>
      </c>
      <c r="AJ24" s="68" t="s">
        <v>96</v>
      </c>
      <c r="AK24" s="68" t="s">
        <v>136</v>
      </c>
      <c r="AL24" s="68" t="s">
        <v>137</v>
      </c>
      <c r="AM24" s="68" t="s">
        <v>145</v>
      </c>
      <c r="AN24" s="68" t="s">
        <v>146</v>
      </c>
      <c r="AO24" s="68" t="s">
        <v>147</v>
      </c>
      <c r="AP24" s="68" t="s">
        <v>148</v>
      </c>
    </row>
    <row r="25" spans="1:42">
      <c r="B25" s="68" t="s">
        <v>149</v>
      </c>
      <c r="C25" s="68" t="s">
        <v>49</v>
      </c>
      <c r="E25" s="68" t="s">
        <v>150</v>
      </c>
      <c r="M25" s="68" t="s">
        <v>151</v>
      </c>
      <c r="N25" s="68" t="s">
        <v>152</v>
      </c>
      <c r="O25" s="68" t="s">
        <v>153</v>
      </c>
      <c r="Q25" s="68" t="s">
        <v>154</v>
      </c>
      <c r="R25" s="68" t="s">
        <v>155</v>
      </c>
      <c r="T25" s="68" t="s">
        <v>156</v>
      </c>
      <c r="U25" s="68" t="s">
        <v>157</v>
      </c>
      <c r="X25" s="68" t="s">
        <v>156</v>
      </c>
      <c r="Y25" s="68" t="s">
        <v>158</v>
      </c>
      <c r="Z25" s="68" t="s">
        <v>159</v>
      </c>
      <c r="AA25" s="68" t="s">
        <v>160</v>
      </c>
      <c r="AB25" s="68" t="s">
        <v>161</v>
      </c>
      <c r="AC25" s="68" t="s">
        <v>162</v>
      </c>
      <c r="AD25" s="68" t="s">
        <v>163</v>
      </c>
      <c r="AH25" s="68" t="s">
        <v>164</v>
      </c>
      <c r="AL25" s="68" t="s">
        <v>165</v>
      </c>
      <c r="AM25" s="68" t="s">
        <v>166</v>
      </c>
    </row>
    <row r="26" spans="1:42">
      <c r="B26" s="68" t="s">
        <v>167</v>
      </c>
      <c r="C26" s="68" t="s">
        <v>50</v>
      </c>
      <c r="E26" s="68" t="s">
        <v>168</v>
      </c>
      <c r="M26" s="68" t="s">
        <v>169</v>
      </c>
      <c r="N26" s="68" t="s">
        <v>170</v>
      </c>
      <c r="O26" s="68" t="s">
        <v>171</v>
      </c>
      <c r="Q26" s="68" t="s">
        <v>172</v>
      </c>
      <c r="R26" s="68" t="s">
        <v>173</v>
      </c>
      <c r="T26" s="68" t="s">
        <v>174</v>
      </c>
      <c r="U26" s="68" t="s">
        <v>175</v>
      </c>
      <c r="X26" s="68" t="s">
        <v>174</v>
      </c>
      <c r="Y26" s="68" t="s">
        <v>176</v>
      </c>
      <c r="Z26" s="68" t="s">
        <v>177</v>
      </c>
      <c r="AA26" s="68" t="s">
        <v>178</v>
      </c>
      <c r="AB26" s="68" t="s">
        <v>179</v>
      </c>
      <c r="AC26" s="68" t="s">
        <v>180</v>
      </c>
      <c r="AD26" s="68" t="s">
        <v>181</v>
      </c>
      <c r="AL26" s="68" t="s">
        <v>182</v>
      </c>
      <c r="AM26" s="68" t="s">
        <v>183</v>
      </c>
    </row>
    <row r="28" spans="1:42">
      <c r="AC28" s="68" t="s">
        <v>184</v>
      </c>
      <c r="AD28" s="68" t="s">
        <v>185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0311B-22E5-4905-93FF-56CC02869C9A}">
  <dimension ref="A1:E13"/>
  <sheetViews>
    <sheetView workbookViewId="0"/>
  </sheetViews>
  <sheetFormatPr defaultRowHeight="15"/>
  <sheetData>
    <row r="1" spans="1:5">
      <c r="A1" s="68" t="s">
        <v>189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203</v>
      </c>
    </row>
    <row r="4" spans="1:5">
      <c r="A4" s="68" t="s">
        <v>0</v>
      </c>
      <c r="B4" s="68" t="s">
        <v>6</v>
      </c>
      <c r="C4" s="68" t="s">
        <v>204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2024-02-06T01:40:24Z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