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"/>
    </mc:Choice>
  </mc:AlternateContent>
  <xr:revisionPtr revIDLastSave="0" documentId="13_ncr:1_{44BEFB78-A12A-4A26-BBB3-406E31A2AEF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0" state="veryHidden" r:id="rId4"/>
    <sheet name="Sheet2" sheetId="91" state="veryHidden" r:id="rId5"/>
    <sheet name="Sheet3" sheetId="92" state="veryHidden" r:id="rId6"/>
    <sheet name="Sheet4" sheetId="93" state="veryHidden" r:id="rId7"/>
    <sheet name="Sheet5" sheetId="94" state="veryHidden" r:id="rId8"/>
    <sheet name="Sheet6" sheetId="95" state="veryHidden" r:id="rId9"/>
  </sheets>
  <definedNames>
    <definedName name="_xlnm._FilterDatabase" localSheetId="1" hidden="1">Data!$K$23:$AB$40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2" i="2" l="1"/>
  <c r="W39" i="2"/>
  <c r="W40" i="2"/>
  <c r="W41" i="2"/>
  <c r="O42" i="2"/>
  <c r="O41" i="2"/>
  <c r="L42" i="2"/>
  <c r="K42" i="2"/>
  <c r="L41" i="2"/>
  <c r="K41" i="2"/>
  <c r="AG39" i="2"/>
  <c r="AG40" i="2"/>
  <c r="AG41" i="2"/>
  <c r="AG42" i="2"/>
  <c r="Z42" i="2"/>
  <c r="Z41" i="2"/>
  <c r="E24" i="2"/>
  <c r="K24" i="2"/>
  <c r="L24" i="2"/>
  <c r="O24" i="2"/>
  <c r="P24" i="2"/>
  <c r="R24" i="2"/>
  <c r="S24" i="2"/>
  <c r="T24" i="2"/>
  <c r="W24" i="2"/>
  <c r="X24" i="2"/>
  <c r="Y24" i="2"/>
  <c r="Z24" i="2"/>
  <c r="AB24" i="2"/>
  <c r="AD24" i="2"/>
  <c r="AG24" i="2"/>
  <c r="AJ24" i="2"/>
  <c r="AK24" i="2"/>
  <c r="E25" i="2"/>
  <c r="K25" i="2"/>
  <c r="L25" i="2"/>
  <c r="O25" i="2"/>
  <c r="P25" i="2"/>
  <c r="R25" i="2"/>
  <c r="S25" i="2"/>
  <c r="T25" i="2"/>
  <c r="W25" i="2"/>
  <c r="X25" i="2"/>
  <c r="Y25" i="2"/>
  <c r="Z25" i="2"/>
  <c r="AB25" i="2"/>
  <c r="AD25" i="2"/>
  <c r="AG25" i="2"/>
  <c r="AJ25" i="2"/>
  <c r="AK25" i="2"/>
  <c r="E26" i="2"/>
  <c r="K26" i="2"/>
  <c r="B26" i="2" s="1"/>
  <c r="L26" i="2"/>
  <c r="O26" i="2"/>
  <c r="P26" i="2"/>
  <c r="R26" i="2"/>
  <c r="S26" i="2"/>
  <c r="T26" i="2"/>
  <c r="W26" i="2"/>
  <c r="X26" i="2"/>
  <c r="Y26" i="2"/>
  <c r="Z26" i="2"/>
  <c r="AB26" i="2"/>
  <c r="AD26" i="2"/>
  <c r="AG26" i="2"/>
  <c r="AJ26" i="2"/>
  <c r="AK26" i="2"/>
  <c r="E27" i="2"/>
  <c r="K27" i="2"/>
  <c r="L27" i="2"/>
  <c r="O27" i="2"/>
  <c r="P27" i="2"/>
  <c r="R27" i="2"/>
  <c r="S27" i="2"/>
  <c r="T27" i="2"/>
  <c r="W27" i="2"/>
  <c r="X27" i="2"/>
  <c r="Y27" i="2"/>
  <c r="Z27" i="2"/>
  <c r="AB27" i="2"/>
  <c r="AD27" i="2"/>
  <c r="AG27" i="2"/>
  <c r="AJ27" i="2"/>
  <c r="AK27" i="2"/>
  <c r="E28" i="2"/>
  <c r="K28" i="2"/>
  <c r="L28" i="2"/>
  <c r="O28" i="2"/>
  <c r="P28" i="2"/>
  <c r="R28" i="2"/>
  <c r="S28" i="2"/>
  <c r="T28" i="2"/>
  <c r="W28" i="2"/>
  <c r="X28" i="2"/>
  <c r="Y28" i="2"/>
  <c r="Z28" i="2"/>
  <c r="AB28" i="2"/>
  <c r="AD28" i="2"/>
  <c r="AG28" i="2"/>
  <c r="AJ28" i="2"/>
  <c r="AK28" i="2"/>
  <c r="E29" i="2"/>
  <c r="K29" i="2"/>
  <c r="B29" i="2" s="1"/>
  <c r="L29" i="2"/>
  <c r="O29" i="2"/>
  <c r="P29" i="2"/>
  <c r="R29" i="2"/>
  <c r="S29" i="2"/>
  <c r="T29" i="2"/>
  <c r="W29" i="2"/>
  <c r="X29" i="2"/>
  <c r="Y29" i="2"/>
  <c r="Z29" i="2"/>
  <c r="AB29" i="2"/>
  <c r="AD29" i="2"/>
  <c r="AG29" i="2"/>
  <c r="AJ29" i="2"/>
  <c r="AK29" i="2"/>
  <c r="E30" i="2"/>
  <c r="K30" i="2"/>
  <c r="B30" i="2" s="1"/>
  <c r="L30" i="2"/>
  <c r="O30" i="2"/>
  <c r="P30" i="2"/>
  <c r="R30" i="2"/>
  <c r="S30" i="2"/>
  <c r="T30" i="2"/>
  <c r="W30" i="2"/>
  <c r="X30" i="2"/>
  <c r="Y30" i="2"/>
  <c r="Z30" i="2"/>
  <c r="AB30" i="2"/>
  <c r="AD30" i="2"/>
  <c r="AG30" i="2"/>
  <c r="AJ30" i="2"/>
  <c r="AK30" i="2"/>
  <c r="E31" i="2"/>
  <c r="K31" i="2"/>
  <c r="L31" i="2"/>
  <c r="O31" i="2"/>
  <c r="P31" i="2"/>
  <c r="R31" i="2"/>
  <c r="S31" i="2"/>
  <c r="T31" i="2"/>
  <c r="W31" i="2"/>
  <c r="X31" i="2"/>
  <c r="Y31" i="2"/>
  <c r="Z31" i="2"/>
  <c r="AB31" i="2"/>
  <c r="AD31" i="2"/>
  <c r="AG31" i="2"/>
  <c r="AJ31" i="2"/>
  <c r="AK31" i="2"/>
  <c r="E32" i="2"/>
  <c r="K32" i="2"/>
  <c r="L32" i="2"/>
  <c r="O32" i="2"/>
  <c r="P32" i="2"/>
  <c r="R32" i="2"/>
  <c r="S32" i="2"/>
  <c r="T32" i="2"/>
  <c r="W32" i="2"/>
  <c r="X32" i="2"/>
  <c r="Y32" i="2"/>
  <c r="Z32" i="2"/>
  <c r="AB32" i="2"/>
  <c r="AD32" i="2"/>
  <c r="AG32" i="2"/>
  <c r="AJ32" i="2"/>
  <c r="AK32" i="2"/>
  <c r="E33" i="2"/>
  <c r="K33" i="2"/>
  <c r="B33" i="2" s="1"/>
  <c r="L33" i="2"/>
  <c r="O33" i="2"/>
  <c r="P33" i="2"/>
  <c r="R33" i="2"/>
  <c r="S33" i="2"/>
  <c r="T33" i="2"/>
  <c r="W33" i="2"/>
  <c r="X33" i="2"/>
  <c r="Y33" i="2"/>
  <c r="Z33" i="2"/>
  <c r="AB33" i="2"/>
  <c r="AD33" i="2"/>
  <c r="AG33" i="2"/>
  <c r="AJ33" i="2"/>
  <c r="AK33" i="2"/>
  <c r="E34" i="2"/>
  <c r="K34" i="2"/>
  <c r="B34" i="2" s="1"/>
  <c r="L34" i="2"/>
  <c r="O34" i="2"/>
  <c r="P34" i="2"/>
  <c r="R34" i="2"/>
  <c r="S34" i="2"/>
  <c r="T34" i="2"/>
  <c r="W34" i="2"/>
  <c r="X34" i="2"/>
  <c r="Y34" i="2"/>
  <c r="Z34" i="2"/>
  <c r="AB34" i="2"/>
  <c r="AD34" i="2"/>
  <c r="AG34" i="2"/>
  <c r="AJ34" i="2"/>
  <c r="AK34" i="2"/>
  <c r="E35" i="2"/>
  <c r="K35" i="2"/>
  <c r="L35" i="2"/>
  <c r="O35" i="2"/>
  <c r="P35" i="2"/>
  <c r="R35" i="2"/>
  <c r="S35" i="2"/>
  <c r="T35" i="2"/>
  <c r="W35" i="2"/>
  <c r="X35" i="2"/>
  <c r="Y35" i="2"/>
  <c r="Z35" i="2"/>
  <c r="AB35" i="2"/>
  <c r="AD35" i="2"/>
  <c r="AG35" i="2"/>
  <c r="AJ35" i="2"/>
  <c r="AK35" i="2"/>
  <c r="E36" i="2"/>
  <c r="K36" i="2"/>
  <c r="L36" i="2"/>
  <c r="O36" i="2"/>
  <c r="P36" i="2"/>
  <c r="R36" i="2"/>
  <c r="S36" i="2"/>
  <c r="T36" i="2"/>
  <c r="W36" i="2"/>
  <c r="X36" i="2"/>
  <c r="Y36" i="2"/>
  <c r="Z36" i="2"/>
  <c r="AB36" i="2"/>
  <c r="AD36" i="2"/>
  <c r="AG36" i="2"/>
  <c r="AJ36" i="2"/>
  <c r="AK36" i="2"/>
  <c r="E37" i="2"/>
  <c r="K37" i="2"/>
  <c r="L37" i="2"/>
  <c r="O37" i="2"/>
  <c r="P37" i="2"/>
  <c r="R37" i="2"/>
  <c r="S37" i="2"/>
  <c r="T37" i="2"/>
  <c r="W37" i="2"/>
  <c r="X37" i="2"/>
  <c r="Y37" i="2"/>
  <c r="Z37" i="2"/>
  <c r="AB37" i="2"/>
  <c r="AD37" i="2"/>
  <c r="AG37" i="2"/>
  <c r="AJ37" i="2"/>
  <c r="AK37" i="2"/>
  <c r="E38" i="2"/>
  <c r="K38" i="2"/>
  <c r="B38" i="2" s="1"/>
  <c r="L38" i="2"/>
  <c r="O38" i="2"/>
  <c r="P38" i="2"/>
  <c r="R38" i="2"/>
  <c r="S38" i="2"/>
  <c r="T38" i="2"/>
  <c r="W38" i="2"/>
  <c r="X38" i="2"/>
  <c r="Y38" i="2"/>
  <c r="Z38" i="2"/>
  <c r="AB38" i="2"/>
  <c r="AD38" i="2"/>
  <c r="AG38" i="2"/>
  <c r="AJ38" i="2"/>
  <c r="AK38" i="2"/>
  <c r="E39" i="2"/>
  <c r="K39" i="2"/>
  <c r="L39" i="2"/>
  <c r="M39" i="2"/>
  <c r="N39" i="2"/>
  <c r="O39" i="2"/>
  <c r="P39" i="2"/>
  <c r="Q39" i="2"/>
  <c r="S39" i="2"/>
  <c r="T39" i="2"/>
  <c r="U39" i="2"/>
  <c r="V39" i="2"/>
  <c r="X39" i="2"/>
  <c r="Y39" i="2"/>
  <c r="Z39" i="2"/>
  <c r="AB39" i="2"/>
  <c r="AA39" i="2" s="1"/>
  <c r="E40" i="2"/>
  <c r="K40" i="2"/>
  <c r="L40" i="2"/>
  <c r="M40" i="2"/>
  <c r="N40" i="2"/>
  <c r="O40" i="2"/>
  <c r="P40" i="2"/>
  <c r="Q40" i="2"/>
  <c r="S40" i="2"/>
  <c r="T40" i="2"/>
  <c r="U40" i="2"/>
  <c r="V40" i="2"/>
  <c r="X40" i="2"/>
  <c r="Y40" i="2"/>
  <c r="Z40" i="2"/>
  <c r="AB40" i="2"/>
  <c r="D5" i="1"/>
  <c r="B37" i="2"/>
  <c r="B36" i="2"/>
  <c r="B35" i="2"/>
  <c r="B32" i="2"/>
  <c r="B31" i="2"/>
  <c r="B28" i="2"/>
  <c r="B27" i="2"/>
  <c r="B25" i="2"/>
  <c r="B8" i="89"/>
  <c r="B7" i="89"/>
  <c r="H6" i="2"/>
  <c r="H5" i="2"/>
  <c r="H4" i="2"/>
  <c r="E2" i="2"/>
  <c r="D30" i="1"/>
  <c r="D29" i="1"/>
  <c r="D14" i="1"/>
  <c r="D13" i="1"/>
  <c r="C13" i="1" s="1"/>
  <c r="E16" i="2" s="1"/>
  <c r="C12" i="1"/>
  <c r="E15" i="2" s="1"/>
  <c r="C11" i="1"/>
  <c r="E14" i="2" s="1"/>
  <c r="C10" i="1"/>
  <c r="E13" i="2" s="1"/>
  <c r="C5" i="1"/>
  <c r="E12" i="2" s="1"/>
  <c r="C4" i="1"/>
  <c r="C3" i="1"/>
  <c r="C9" i="1" s="1"/>
  <c r="E11" i="2" s="1"/>
  <c r="AA40" i="2" l="1"/>
  <c r="D6" i="2"/>
  <c r="D5" i="2"/>
  <c r="I6" i="2"/>
  <c r="I5" i="2"/>
  <c r="D4" i="2"/>
  <c r="E4" i="2" s="1"/>
  <c r="C8" i="1"/>
  <c r="E5" i="2" l="1"/>
  <c r="E6" i="2"/>
  <c r="B39" i="2"/>
  <c r="B40" i="2"/>
  <c r="B24" i="2"/>
</calcChain>
</file>

<file path=xl/sharedStrings.xml><?xml version="1.0" encoding="utf-8"?>
<sst xmlns="http://schemas.openxmlformats.org/spreadsheetml/2006/main" count="1467" uniqueCount="600">
  <si>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</si>
  <si>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</si>
  <si>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</si>
  <si>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</si>
  <si>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</si>
  <si>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</si>
  <si>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</si>
  <si>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</si>
  <si>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</si>
  <si>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</si>
  <si>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</si>
  <si>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</si>
  <si>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</si>
  <si>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</si>
  <si>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</si>
  <si>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</si>
  <si>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</si>
  <si>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</si>
  <si>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</si>
  <si>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</si>
  <si>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</si>
  <si>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</si>
  <si>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</si>
  <si>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</si>
  <si>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</si>
  <si>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</si>
  <si>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</si>
  <si>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</si>
  <si>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</si>
  <si>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</si>
  <si>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</si>
  <si>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</si>
  <si>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</si>
  <si>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</si>
  <si>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</si>
  <si>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</si>
  <si>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</si>
  <si>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</si>
  <si>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</si>
  <si>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</si>
  <si>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</si>
  <si>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</si>
  <si>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</si>
  <si>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</si>
  <si>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</si>
  <si>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</si>
  <si>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</si>
  <si>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</si>
  <si>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</si>
  <si>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</si>
  <si>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</si>
  <si>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</si>
  <si>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</si>
  <si>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</si>
  <si>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</si>
  <si>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</si>
  <si>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</si>
  <si>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</si>
  <si>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</si>
  <si>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</si>
  <si>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</si>
  <si>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</si>
  <si>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</si>
  <si>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</si>
  <si>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</si>
  <si>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</si>
  <si>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</si>
  <si>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</si>
  <si>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</si>
  <si>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</si>
  <si>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</si>
  <si>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</si>
  <si>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</si>
  <si>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</si>
  <si>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</si>
  <si>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</si>
  <si>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</si>
  <si>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="01/11/2023"</t>
  </si>
  <si>
    <t>="30/11/2023"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</si>
  <si>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</si>
  <si>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</si>
  <si>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</si>
  <si>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</si>
  <si>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</si>
  <si>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</si>
  <si>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</si>
  <si>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</si>
  <si>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</si>
  <si>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</si>
  <si>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</si>
  <si>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</si>
  <si>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</si>
  <si>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</si>
  <si>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</si>
  <si>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</si>
  <si>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</si>
  <si>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</si>
  <si>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</si>
  <si>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</si>
  <si>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</si>
  <si>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</si>
  <si>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</si>
  <si>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</si>
  <si>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</si>
  <si>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</si>
  <si>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</si>
  <si>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</si>
  <si>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</si>
  <si>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</si>
  <si>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</si>
  <si>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</si>
  <si>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</si>
  <si>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</si>
  <si>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</si>
  <si>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</si>
  <si>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</si>
  <si>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</si>
  <si>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</si>
  <si>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</si>
  <si>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</si>
  <si>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</si>
  <si>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</si>
  <si>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</si>
  <si>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</si>
  <si>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=IFERROR(AC24/AA24,0)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</si>
  <si>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</si>
  <si>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</si>
  <si>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</si>
  <si>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</si>
  <si>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</si>
  <si>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</si>
  <si>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</si>
  <si>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</si>
  <si>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</si>
  <si>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</si>
  <si>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</si>
  <si>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</si>
  <si>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</si>
  <si>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</si>
  <si>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</si>
  <si>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</si>
  <si>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</si>
  <si>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</si>
  <si>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</si>
  <si>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</si>
  <si>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</si>
  <si>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</si>
  <si>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</si>
  <si>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</si>
  <si>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</si>
  <si>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=IFERROR(AB25/V25,0)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</si>
  <si>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</si>
  <si>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</si>
  <si>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</si>
  <si>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</si>
  <si>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</si>
  <si>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</si>
  <si>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</si>
  <si>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</si>
  <si>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</si>
  <si>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</si>
  <si>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</si>
  <si>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</si>
  <si>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</si>
  <si>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</si>
  <si>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</si>
  <si>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</si>
  <si>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</si>
  <si>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=IFERROR(AB26/V26,0)</t>
  </si>
  <si>
    <t>=IFERROR(NF($E26,"LINETOTAL"),"-")</t>
  </si>
  <si>
    <t>=SUBTOTAL(9,AA24:AA27)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</si>
  <si>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</si>
  <si>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</si>
  <si>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</si>
  <si>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</si>
  <si>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</si>
  <si>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</si>
  <si>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="""UICACS"","""",""SQL="",""2=DOCNUM"",""33033159"",""14=CUSTREF"",""4203172399"",""14=U_CUSTREF"",""4203172399"",""15=DOCDATE"",""7/11/2023"",""15=TAXDATE"",""7/11/2023"",""14=CARDCODE"",""CI1261-SGD"",""14=CARDNAME"",""CHANGI GENERAL HOSPITAL PTE LTD"",""14=ITEMCODE"",""MS9EA-00264GLP"",""14="&amp;"ITEMNAME"",""MS WINSVRDCCORE SNGL SA MVL 16LIC CORELIC"",""10=QUANTITY"",""5.000000"",""14=U_PONO"",""946000/A"",""15=U_PODATE"",""26/9/2023"",""10=U_TLINTCOS"",""0.000000"",""2=SLPCODE"",""132"",""14=SLPNAME"",""E0001-CS"",""14=MEMO"",""WENDY KUM CHIOU SZE"",""14=CONTACTNAME"",""E-INVOIC"&amp;"E"",""10=LINETOTAL"",""20561.600000"",""14=U_ENR"","""",""14=U_MSENR"",""S7138270"",""14=U_MSPCN"",""83288253"",""14=ADDRESS2"",""ZAYAR AUNG_x000D_CHANGI GENERAL HOSPITAL 2 SIMEI STREET 3  SINGAPORE 529889_x000D_ZAYAR AUNG_x000D_TEL: 6936 5182_x000D_FAX: _x000D_EMAIL: zayar.aung@synapxe.sg"""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</si>
  <si>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</si>
  <si>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</si>
  <si>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</si>
  <si>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</si>
  <si>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</si>
  <si>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=SUM(N25-U25)</t>
  </si>
  <si>
    <t>=IFERROR(AC25/AA25,0)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</si>
  <si>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</si>
  <si>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</si>
  <si>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</si>
  <si>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</si>
  <si>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</si>
  <si>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</si>
  <si>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</si>
  <si>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="""UICACS"","""",""SQL="",""2=DOCNUM"",""33033159"",""14=CUSTREF"",""4203172399"",""14=U_CUSTREF"",""4203172399"",""15=DOCDATE"",""7/11/2023"",""15=TAXDATE"",""7/11/2023"",""14=CARDCODE"",""CI1261-SGD"",""14=CARDNAME"",""CHANGI GENERAL HOSPITAL PTE LTD"",""14=ITEMCODE"",""MS7NQ-00301GLP"",""14="&amp;"ITEMNAME"",""MS SQLSVRSTDCORE SNGL SA MVL 2LIC CORELIC"",""10=QUANTITY"",""2.000000"",""14=U_PONO"",""946000/A"",""15=U_PODATE"",""26/9/2023"",""10=U_TLINTCOS"",""0.000000"",""2=SLPCODE"",""132"",""14=SLPNAME"",""E0001-CS"",""14=MEMO"",""WENDY KUM CHIOU SZE"",""14=CONTACTNAME"",""E-INVOIC"&amp;"E"",""10=LINETOTAL"",""5265.420000"",""14=U_ENR"","""",""14=U_MSENR"",""S7138270"",""14=U_MSPCN"",""83288253"",""14=ADDRESS2"",""ZAYAR AUNG_x000D_CHANGI GENERAL HOSPITAL 2 SIMEI STREET 3  SINGAPORE 529889_x000D_ZAYAR AUNG_x000D_TEL: 6936 5182_x000D_FAX: _x000D_EMAIL: zayar.aung@synapxe.sg"""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</si>
  <si>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</si>
  <si>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</si>
  <si>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</si>
  <si>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</si>
  <si>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</si>
  <si>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=SUM(N26-U26)</t>
  </si>
  <si>
    <t>=IFERROR(AC26/AA26,0)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</si>
  <si>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</si>
  <si>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</si>
  <si>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</si>
  <si>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</si>
  <si>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</si>
  <si>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</si>
  <si>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</si>
  <si>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</si>
  <si>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="""UICACS"","""",""SQL="",""2=DOCNUM"",""33033167"",""14=CUSTREF"",""2823402892"",""14=U_CUSTREF"",""2823402892"",""15=DOCDATE"",""7/11/2023"",""15=TAXDATE"",""7/11/2023"",""14=CARDCODE"",""CS0507-SGD"",""14=CARDNAME"",""SENGKANG GENERAL HOSPITAL PTE. LTD."",""14=ITEMCODE"",""MS7NQ-00300GLP"","&amp;"""14=ITEMNAME"",""MS SQLSVRSTDCORE SNGL LICSAPK MVL 2LIC CORELIC"",""10=QUANTITY"",""4.000000"",""14=U_PONO"",""946579"",""15=U_PODATE"",""25/10/2023"",""10=U_TLINTCOS"",""0.000000"",""2=SLPCODE"",""132"",""14=SLPNAME"",""E0001-CS"",""14=MEMO"",""WENDY KUM CHIOU SZE"",""14=CONTACTNAME"","""&amp;"FINANCE DEPARTMENT"",""10=LINETOTAL"",""25055.600000"",""14=U_ENR"","""",""14=U_MSENR"",""S7138270"",""14=U_MSPCN"",""BD18AB21"",""14=ADDRESS2"",""FREDERICK TEA_x000D_SENGKANG GENERAL HOSPITAL 110 SENGKANG EAST WAY  SINGAPORE 544886_x000D_MR FREDERICK TEA_x000D_TEL: 94567202/63706139_x000D_FAX: _x000D_EM"&amp;"AIL: frederick.tea@ihis.com.sg"""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</si>
  <si>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</si>
  <si>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</si>
  <si>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</si>
  <si>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</si>
  <si>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</si>
  <si>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</si>
  <si>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</si>
  <si>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</si>
  <si>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</si>
  <si>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</si>
  <si>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</si>
  <si>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=SUM(N27-U27)</t>
  </si>
  <si>
    <t>=IFERROR(NF($E27,"ITEMCODE"),"-")</t>
  </si>
  <si>
    <t>=IFERROR(NF($E27,"ITEMNAME"),"-")</t>
  </si>
  <si>
    <t>=IFERROR(NF($E27,"MEMO"),"-")</t>
  </si>
  <si>
    <t>=IFERROR(NF($E27,"QUANTITY"),"-")</t>
  </si>
  <si>
    <t>=IFERROR(AC27/AA27,0)</t>
  </si>
  <si>
    <t>=IFERROR(NF($E27,"LINETOTAL"),"-")</t>
  </si>
  <si>
    <t>=IFERROR(NF($E27,"U_BPurDisc"),"-")</t>
  </si>
  <si>
    <t>=IFERROR(NF($E27,"ADDRESS2"),"-")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</si>
  <si>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</si>
  <si>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</si>
  <si>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</si>
  <si>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</si>
  <si>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</si>
  <si>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</si>
  <si>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=IF(K28="","Hide","Show")</t>
  </si>
  <si>
    <t>="""UICACS"","""",""SQL="",""2=DOCNUM"",""33033168"",""14=CUSTREF"",""4203173052"",""14=U_CUSTREF"",""4203173052"",""15=DOCDATE"",""7/11/2023"",""15=TAXDATE"",""7/11/2023"",""14=CARDCODE"",""CI1261-SGD"",""14=CARDNAME"",""CHANGI GENERAL HOSPITAL PTE LTD"",""14=ITEMCODE"",""MS228-04529GLP"",""14="&amp;"ITEMNAME"",""MS SQLSVRSTD SNGL SA MVL"",""10=QUANTITY"",""2.000000"",""14=U_PONO"",""946576"",""15=U_PODATE"",""14/10/2023"",""10=U_TLINTCOS"",""0.000000"",""2=SLPCODE"",""132"",""14=SLPNAME"",""E0001-CS"",""14=MEMO"",""WENDY KUM CHIOU SZE"",""14=CONTACTNAME"",""E-INVOICE"",""10=LINETOTAL"","&amp;"""1329.160000"",""14=U_ENR"","""",""14=U_MSENR"",""S7138270"",""14=U_MSPCN"",""83288253"",""14=ADDRESS2"",""JOCELYN TAN SU YI_x000D_CHANGI GENERAL HOSPITAL 2 SIMEI STREET 3  SINGAPORE 529889_x000D_JOCELYN TAN SU YI_x000D_TEL: 83882343_x000D_FAX: _x000D_EMAIL: JOCELYN.TAN2@synapxe.sg"""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</si>
  <si>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</si>
  <si>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</si>
  <si>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</si>
  <si>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</si>
  <si>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</si>
  <si>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</si>
  <si>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</si>
  <si>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</si>
  <si>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</si>
  <si>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</si>
  <si>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</si>
  <si>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=SUM(N28-U28)</t>
  </si>
  <si>
    <t>=IFERROR(NF($E28,"ITEMCODE"),"-")</t>
  </si>
  <si>
    <t>=IFERROR(NF($E28,"ITEMNAME"),"-")</t>
  </si>
  <si>
    <t>=IFERROR(NF($E28,"MEMO"),"-")</t>
  </si>
  <si>
    <t>=IFERROR(NF($E28,"QUANTITY"),"-")</t>
  </si>
  <si>
    <t>=IFERROR(AC28/AA28,0)</t>
  </si>
  <si>
    <t>=IFERROR(NF($E28,"LINETOTAL"),"-")</t>
  </si>
  <si>
    <t>=IFERROR(NF($E28,"U_BPurDisc"),"-")</t>
  </si>
  <si>
    <t>=IFERROR(NF($E28,"ADDRESS2"),"-")</t>
  </si>
  <si>
    <t>=IFERROR(NF($E28,"ItemCode"),"-")</t>
  </si>
  <si>
    <t>=IFERROR(NF($E28,"ItemName"),"-")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</si>
  <si>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</si>
  <si>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</si>
  <si>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</si>
  <si>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</si>
  <si>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</si>
  <si>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="""UICACS"","""",""SQL="",""2=DOCNUM"",""33033168"",""14=CUSTREF"",""4203173052"",""14=U_CUSTREF"",""4203173052"",""15=DOCDATE"",""7/11/2023"",""15=TAXDATE"",""7/11/2023"",""14=CARDCODE"",""CI1261-SGD"",""14=CARDNAME"",""CHANGI GENERAL HOSPITAL PTE LTD"",""14=ITEMCODE"",""MS7JQ-00355GLP"",""14="&amp;"ITEMNAME"",""MS SQLSVRENTCORE SNGL SA MVL 2LIC CORELIC"",""10=QUANTITY"",""8.000000"",""14=U_PONO"",""946576"",""15=U_PODATE"",""14/10/2023"",""10=U_TLINTCOS"",""0.000000"",""2=SLPCODE"",""132"",""14=SLPNAME"",""E0001-CS"",""14=MEMO"",""WENDY KUM CHIOU SZE"",""14=CONTACTNAME"",""E-INVOICE"&amp;""",""10=LINETOTAL"",""81814.560000"",""14=U_ENR"","""",""14=U_MSENR"",""S7138270"",""14=U_MSPCN"",""83288253"",""14=ADDRESS2"",""JOCELYN TAN SU YI_x000D_CHANGI GENERAL HOSPITAL 2 SIMEI STREET 3  SINGAPORE 529889_x000D_JOCELYN TAN SU YI_x000D_TEL: 83882343_x000D_FAX: _x000D_EMAIL: JOCELYN.TAN2@synapxe.sg"""</t>
  </si>
  <si>
    <t>=MONTH(N29)</t>
  </si>
  <si>
    <t>=YEAR(N29)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</si>
  <si>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</si>
  <si>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</si>
  <si>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</si>
  <si>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</si>
  <si>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</si>
  <si>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</si>
  <si>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</si>
  <si>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=IFERROR(NF($E29,"U_PODate"),"-")</t>
  </si>
  <si>
    <t>=IFERROR(NF($E29,"DOCdate"),"-")</t>
  </si>
  <si>
    <t>=SUM(N29-U29)</t>
  </si>
  <si>
    <t>=IFERROR(NF($E29,"ITEMCODE"),"-")</t>
  </si>
  <si>
    <t>=IFERROR(NF($E29,"ITEMNAME"),"-")</t>
  </si>
  <si>
    <t>=IFERROR(NF($E29,"MEMO"),"-")</t>
  </si>
  <si>
    <t>=IFERROR(NF($E29,"QUANTITY"),"-")</t>
  </si>
  <si>
    <t>=IFERROR(AC29/AA29,0)</t>
  </si>
  <si>
    <t>=IFERROR(NF($E29,"LINETOTAL"),"-")</t>
  </si>
  <si>
    <t>=IFERROR(NF($E29,"U_BPurDisc"),"-")</t>
  </si>
  <si>
    <t>=IFERROR(NF($E29,"ADDRESS2"),"-")</t>
  </si>
  <si>
    <t>=IFERROR(NF($E29,"ItemCode"),"-")</t>
  </si>
  <si>
    <t>=IFERROR(NF($E29,"ItemName"),"-")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</si>
  <si>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</si>
  <si>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</si>
  <si>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</si>
  <si>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</si>
  <si>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=IF(K30="","Hide","Show")</t>
  </si>
  <si>
    <t>="""UICACS"","""",""SQL="",""2=DOCNUM"",""33033210"",""14=CUSTREF"",""PO23000159"",""14=U_CUSTREF"",""PO23000159"",""15=DOCDATE"",""10/11/2023"",""15=TAXDATE"",""10/11/2023"",""14=CARDCODE"",""CS0276-SGD"",""14=CARDNAME"",""SINGAPORE CORD BLOOD BANK LIMITED"",""14=ITEMCODE"",""MS359-07102GLP"","&amp;"""14=ITEMNAME"",""MS SQL CAL 2022 SLNG USER CAL"",""10=QUANTITY"",""1.000000"",""14=U_PONO"",""946863"",""15=U_PODATE"",""8/11/2023"",""10=U_TLINTCOS"",""0.000000"",""2=SLPCODE"",""132"",""14=SLPNAME"",""E0001-CS"",""14=MEMO"",""WENDY KUM CHIOU SZE"",""14=CONTACTNAME"",""FSS- ACCOUNTS PAYA"&amp;"BLE"",""10=LINETOTAL"",""210.800000"",""14=U_ENR"","""",""14=U_MSENR"",""S7138270"",""14=U_MSPCN"",""8251F2D8"",""14=ADDRESS2"",""BRENNAN LIM_x000D_SINGAPORE CORD BLOOD BANK LIMITED 37 JALAN PEMIMPIN, #04-14 MAPEX SINGAPORE 577177_x000D_BRENNAN LIM_x000D_TEL: _x000D_FAX: _x000D_EMAIL: brennan.lim@synapxe"&amp;".sg"""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</si>
  <si>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</si>
  <si>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</si>
  <si>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</si>
  <si>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</si>
  <si>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</si>
  <si>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</si>
  <si>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</si>
  <si>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</si>
  <si>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=IFERROR(NF($E30,"U_CUSTREF"),"-")</t>
  </si>
  <si>
    <t>=IFERROR(NF($E30,"U_PODate"),"-")</t>
  </si>
  <si>
    <t>=IFERROR(NF($E30,"DOCdate"),"-")</t>
  </si>
  <si>
    <t>=SUM(N30-U30)</t>
  </si>
  <si>
    <t>=IFERROR(NF($E30,"ITEMCODE"),"-")</t>
  </si>
  <si>
    <t>=IFERROR(NF($E30,"ITEMNAME"),"-")</t>
  </si>
  <si>
    <t>=IFERROR(NF($E30,"MEMO"),"-")</t>
  </si>
  <si>
    <t>=IFERROR(NF($E30,"QUANTITY"),"-")</t>
  </si>
  <si>
    <t>=IFERROR(AC30/AA30,0)</t>
  </si>
  <si>
    <t>=IFERROR(NF($E30,"LINETOTAL"),"-")</t>
  </si>
  <si>
    <t>=IFERROR(NF($E30,"U_BPurDisc"),"-")</t>
  </si>
  <si>
    <t>=IFERROR(NF($E30,"ADDRESS2"),"-")</t>
  </si>
  <si>
    <t>=IFERROR(NF($E30,"ItemCode"),"-")</t>
  </si>
  <si>
    <t>=IFERROR(NF($E30,"ItemName"),"-")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</si>
  <si>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</si>
  <si>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</si>
  <si>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</si>
  <si>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</si>
  <si>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=IF(K31="","Hide","Show")</t>
  </si>
  <si>
    <t>="""UICACS"","""",""SQL="",""2=DOCNUM"",""33033210"",""14=CUSTREF"",""PO23000159"",""14=U_CUSTREF"",""PO23000159"",""15=DOCDATE"",""10/11/2023"",""15=TAXDATE"",""10/11/2023"",""14=CARDCODE"",""CS0276-SGD"",""14=CARDNAME"",""SINGAPORE CORD BLOOD BANK LIMITED"",""14=ITEMCODE"",""MS228-11680GLP"","&amp;"""14=ITEMNAME"",""MS SQL SERVER STANDARD 2022 SLNG"",""10=QUANTITY"",""1.000000"",""14=U_PONO"",""946863"",""15=U_PODATE"",""8/11/2023"",""10=U_TLINTCOS"",""0.000000"",""2=SLPCODE"",""132"",""14=SLPNAME"",""E0001-CS"",""14=MEMO"",""WENDY KUM CHIOU SZE"",""14=CONTACTNAME"",""FSS- ACCOUNTS P"&amp;"AYABLE"",""10=LINETOTAL"",""907.970000"",""14=U_ENR"","""",""14=U_MSENR"",""S7138270"",""14=U_MSPCN"",""8251F2D8"",""14=ADDRESS2"",""BRENNAN LIM_x000D_SINGAPORE CORD BLOOD BANK LIMITED 37 JALAN PEMIMPIN, #04-14 MAPEX SINGAPORE 577177_x000D_BRENNAN LIM_x000D_TEL: _x000D_FAX: _x000D_EMAIL: brennan.lim@syna"&amp;"pxe.sg"""</t>
  </si>
  <si>
    <t>=MONTH(N31)</t>
  </si>
  <si>
    <t>=YEAR(N31)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</si>
  <si>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</si>
  <si>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</si>
  <si>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</si>
  <si>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</si>
  <si>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</si>
  <si>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</si>
  <si>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=IFERROR(NF($E31,"U_CUSTREF"),"-")</t>
  </si>
  <si>
    <t>=IFERROR(NF($E31,"U_PODate"),"-")</t>
  </si>
  <si>
    <t>=IFERROR(NF($E31,"DOCdate"),"-")</t>
  </si>
  <si>
    <t>=SUM(N31-U31)</t>
  </si>
  <si>
    <t>=IFERROR(NF($E31,"ITEMCODE"),"-")</t>
  </si>
  <si>
    <t>=IFERROR(NF($E31,"ITEMNAME"),"-")</t>
  </si>
  <si>
    <t>=IFERROR(NF($E31,"MEMO"),"-")</t>
  </si>
  <si>
    <t>=IFERROR(NF($E31,"QUANTITY"),"-")</t>
  </si>
  <si>
    <t>=IFERROR(AC31/AA31,0)</t>
  </si>
  <si>
    <t>=IFERROR(NF($E31,"LINETOTAL"),"-")</t>
  </si>
  <si>
    <t>=IFERROR(NF($E31,"U_BPurDisc"),"-")</t>
  </si>
  <si>
    <t>=IFERROR(NF($E31,"ADDRESS2"),"-")</t>
  </si>
  <si>
    <t>=IFERROR(NF($E31,"ItemCode"),"-")</t>
  </si>
  <si>
    <t>=IFERROR(NF($E31,"ItemName"),"-")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</si>
  <si>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</si>
  <si>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</si>
  <si>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</si>
  <si>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</si>
  <si>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=IF(K32="","Hide","Show")</t>
  </si>
  <si>
    <t>="""UICACS"","""",""SQL="",""2=DOCNUM"",""33033298"",""14=CUSTREF"",""9410255696"",""14=U_CUSTREF"",""9410255696"",""15=DOCDATE"",""23/11/2023"",""15=TAXDATE"",""23/11/2023"",""14=CARDCODE"",""CI1077-SGD"",""14=CARDNAME"",""KK WOMEN'S AND CHILDREN'S HOSPITAL"",""14=ITEMCODE"",""MS7JQ-00355GLP"""&amp;",""14=ITEMNAME"",""MS SQLSVRENTCORE SNGL SA MVL 2LIC CORELIC"",""10=QUANTITY"",""4.000000"",""14=U_PONO"",""947151/A/B"",""15=U_PODATE"",""22/11/2023"",""10=U_TLINTCOS"",""0.000000"",""2=SLPCODE"",""132"",""14=SLPNAME"",""E0001-CS"",""14=MEMO"",""WENDY KUM CHIOU SZE"",""14=CONTACTNAME"","""&amp;"FINANCE DEPARTMENT"",""10=LINETOTAL"",""29544.120000"",""14=U_ENR"","""",""14=U_MSENR"",""S7138270"",""14=U_MSPCN"",""B1EFBA40"",""14=ADDRESS2"",""LEE JIA HAO_x000D_KK WOMEN'S AND CHILDREN'S HOSPITAL PTE LTD 100 BUKIT TIMAH ROAD  SINGAPORE 229899_x000D_LEE JIA HAO_x000D_TEL: 83218658_x000D_FAX: _x000D_EM"&amp;"AIL: lee.jia.hao1@synapxe.sg"""</t>
  </si>
  <si>
    <t>=MONTH(N32)</t>
  </si>
  <si>
    <t>=YEAR(N32)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</si>
  <si>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</si>
  <si>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</si>
  <si>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</si>
  <si>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</si>
  <si>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</si>
  <si>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</si>
  <si>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=IFERROR(NF($E32,"U_CUSTREF"),"-")</t>
  </si>
  <si>
    <t>=IFERROR(NF($E32,"U_PODate"),"-")</t>
  </si>
  <si>
    <t>=IFERROR(NF($E32,"DOCdate"),"-")</t>
  </si>
  <si>
    <t>=SUM(N32-U32)</t>
  </si>
  <si>
    <t>=IFERROR(NF($E32,"ITEMCODE"),"-")</t>
  </si>
  <si>
    <t>=IFERROR(NF($E32,"ITEMNAME"),"-")</t>
  </si>
  <si>
    <t>=IFERROR(NF($E32,"MEMO"),"-")</t>
  </si>
  <si>
    <t>=IFERROR(NF($E32,"QUANTITY"),"-")</t>
  </si>
  <si>
    <t>=IFERROR(AC32/AA32,0)</t>
  </si>
  <si>
    <t>=IFERROR(NF($E32,"LINETOTAL"),"-")</t>
  </si>
  <si>
    <t>=IFERROR(NF($E32,"U_BPurDisc"),"-")</t>
  </si>
  <si>
    <t>=IFERROR(NF($E32,"ADDRESS2"),"-")</t>
  </si>
  <si>
    <t>=IFERROR(NF($E32,"ItemCode"),"-")</t>
  </si>
  <si>
    <t>=IFERROR(NF($E32,"ItemName"),"-")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</si>
  <si>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</si>
  <si>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</si>
  <si>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</si>
  <si>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</si>
  <si>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=IF(K33="","Hide","Show")</t>
  </si>
  <si>
    <t>="""UICACS"","""",""SQL="",""2=DOCNUM"",""33033298"",""14=CUSTREF"",""9410255696"",""14=U_CUSTREF"",""9410255696"",""15=DOCDATE"",""23/11/2023"",""15=TAXDATE"",""23/11/2023"",""14=CARDCODE"",""CI1077-SGD"",""14=CARDNAME"",""KK WOMEN'S AND CHILDREN'S HOSPITAL"",""14=ITEMCODE"",""MS7JQ-00355GLP"""&amp;",""14=ITEMNAME"",""MS SQLSVRENTCORE SNGL SA MVL 2LIC CORELIC"",""10=QUANTITY"",""2.000000"",""14=U_PONO"",""947151/A/B"",""15=U_PODATE"",""22/11/2023"",""10=U_TLINTCOS"",""0.000000"",""2=SLPCODE"",""132"",""14=SLPNAME"",""E0001-CS"",""14=MEMO"",""WENDY KUM CHIOU SZE"",""14=CONTACTNAME"","""&amp;"FINANCE DEPARTMENT"",""10=LINETOTAL"",""14203.920000"",""14=U_ENR"","""",""14=U_MSENR"",""S7138270"",""14=U_MSPCN"",""B1EFBA40"",""14=ADDRESS2"",""LEE JIA HAO_x000D_KK WOMEN'S AND CHILDREN'S HOSPITAL PTE LTD 100 BUKIT TIMAH ROAD  SINGAPORE 229899_x000D_LEE JIA HAO_x000D_TEL: 83218658_x000D_FAX: _x000D_EM"&amp;"AIL: lee.jia.hao1@synapxe.sg"""</t>
  </si>
  <si>
    <t>=MONTH(N33)</t>
  </si>
  <si>
    <t>=YEAR(N33)</t>
  </si>
  <si>
    <t>=IFERROR(NF($E33,"DOCNUM"),"-")</t>
  </si>
  <si>
    <t>=IFERROR(NF($E33,"DOCDATE"),"-")</t>
  </si>
  <si>
    <t>=IFERROR(NF($E33,"U_MSENR"),"-")</t>
  </si>
  <si>
    <t>=IFERROR(NF($E33,"U_MSPCN"),"-")</t>
  </si>
  <si>
    <t>=IFERROR(NF($E33,"CARDCODE"),"-")</t>
  </si>
  <si>
    <t>=IFERROR(NF($E33,"CARDNAME"),"-")</t>
  </si>
  <si>
    <t>=IFERROR(NF($E33,"U_CUSTREF"),"-")</t>
  </si>
  <si>
    <t>=IFERROR(NF($E33,"U_PODate"),"-")</t>
  </si>
  <si>
    <t>=IFERROR(NF($E33,"DOCdate"),"-")</t>
  </si>
  <si>
    <t>=SUM(N33-U33)</t>
  </si>
  <si>
    <t>=IFERROR(NF($E33,"ITEMCODE"),"-")</t>
  </si>
  <si>
    <t>=IFERROR(NF($E33,"ITEMNAME"),"-")</t>
  </si>
  <si>
    <t>=IFERROR(NF($E33,"MEMO"),"-")</t>
  </si>
  <si>
    <t>=IFERROR(NF($E33,"QUANTITY"),"-")</t>
  </si>
  <si>
    <t>=IFERROR(AC33/AA33,0)</t>
  </si>
  <si>
    <t>=IFERROR(NF($E33,"LINETOTAL"),"-")</t>
  </si>
  <si>
    <t>=IFERROR(NF($E33,"U_BPurDisc"),"-")</t>
  </si>
  <si>
    <t>=IFERROR(NF($E33,"ADDRESS2"),"-")</t>
  </si>
  <si>
    <t>=IFERROR(NF($E33,"ItemCode"),"-")</t>
  </si>
  <si>
    <t>=IFERROR(NF($E33,"ItemName"),"-")</t>
  </si>
  <si>
    <t>=IFERROR(NF($E33,"U_SWSub"),"-")</t>
  </si>
  <si>
    <t>=IFERROR(NF($E33,"U_LicComDt"),"-")</t>
  </si>
  <si>
    <t>=IFERROR(NF($E33,"U_LicEndDt"),"-")</t>
  </si>
  <si>
    <t>=IFERROR(NF($E33,"Comments"),"-")</t>
  </si>
  <si>
    <t>=IF(K34="","Hide","Show")</t>
  </si>
  <si>
    <t>="""UICACS"","""",""SQL="",""2=DOCNUM"",""33033298"",""14=CUSTREF"",""9410255696"",""14=U_CUSTREF"",""9410255696"",""15=DOCDATE"",""23/11/2023"",""15=TAXDATE"",""23/11/2023"",""14=CARDCODE"",""CI1077-SGD"",""14=CARDNAME"",""KK WOMEN'S AND CHILDREN'S HOSPITAL"",""14=ITEMCODE"",""MS7NQ-00301GLP"""&amp;",""14=ITEMNAME"",""MS SQLSVRSTDCORE SNGL SA MVL 2LIC CORELIC"",""10=QUANTITY"",""2.000000"",""14=U_PONO"",""947151/A/B"",""15=U_PODATE"",""22/11/2023"",""10=U_TLINTCOS"",""0.000000"",""2=SLPCODE"",""132"",""14=SLPNAME"",""E0001-CS"",""14=MEMO"",""WENDY KUM CHIOU SZE"",""14=CONTACTNAME"","""&amp;"FINANCE DEPARTMENT"",""10=LINETOTAL"",""4587.760000"",""14=U_ENR"","""",""14=U_MSENR"",""S7138270"",""14=U_MSPCN"",""B1EFBA40"",""14=ADDRESS2"",""LEE JIA HAO_x000D_KK WOMEN'S AND CHILDREN'S HOSPITAL PTE LTD 100 BUKIT TIMAH ROAD  SINGAPORE 229899_x000D_LEE JIA HAO_x000D_TEL: 83218658_x000D_FAX: _x000D_EMA"&amp;"IL: lee.jia.hao1@synapxe.sg"""</t>
  </si>
  <si>
    <t>=MONTH(N34)</t>
  </si>
  <si>
    <t>=YEAR(N34)</t>
  </si>
  <si>
    <t>=IFERROR(NF($E34,"DOCNUM"),"-")</t>
  </si>
  <si>
    <t>=IFERROR(NF($E34,"DOCDATE"),"-")</t>
  </si>
  <si>
    <t>=IFERROR(NF($E34,"U_MSENR"),"-")</t>
  </si>
  <si>
    <t>=IFERROR(NF($E34,"U_MSPCN"),"-")</t>
  </si>
  <si>
    <t>=IFERROR(NF($E34,"CARDCODE"),"-")</t>
  </si>
  <si>
    <t>=IFERROR(NF($E34,"CARDNAME"),"-")</t>
  </si>
  <si>
    <t>=IFERROR(NF($E34,"U_CUSTREF"),"-")</t>
  </si>
  <si>
    <t>=IFERROR(NF($E34,"U_PODate"),"-")</t>
  </si>
  <si>
    <t>=IFERROR(NF($E34,"DOCdate"),"-")</t>
  </si>
  <si>
    <t>=SUM(N34-U34)</t>
  </si>
  <si>
    <t>=IFERROR(NF($E34,"ITEMCODE"),"-")</t>
  </si>
  <si>
    <t>=IFERROR(NF($E34,"ITEMNAME"),"-")</t>
  </si>
  <si>
    <t>=IFERROR(NF($E34,"MEMO"),"-")</t>
  </si>
  <si>
    <t>=IFERROR(NF($E34,"QUANTITY"),"-")</t>
  </si>
  <si>
    <t>=IFERROR(AC34/AA34,0)</t>
  </si>
  <si>
    <t>=IFERROR(NF($E34,"LINETOTAL"),"-")</t>
  </si>
  <si>
    <t>=IFERROR(NF($E34,"U_BPurDisc"),"-")</t>
  </si>
  <si>
    <t>=IFERROR(NF($E34,"ADDRESS2"),"-")</t>
  </si>
  <si>
    <t>=IFERROR(NF($E34,"ItemCode"),"-")</t>
  </si>
  <si>
    <t>=IFERROR(NF($E34,"ItemName"),"-")</t>
  </si>
  <si>
    <t>=IFERROR(NF($E34,"U_SWSub"),"-")</t>
  </si>
  <si>
    <t>=IFERROR(NF($E34,"U_LicComDt"),"-")</t>
  </si>
  <si>
    <t>=IFERROR(NF($E34,"U_LicEndDt"),"-")</t>
  </si>
  <si>
    <t>=IFERROR(NF($E34,"Comments"),"-")</t>
  </si>
  <si>
    <t>=IF(K35="","Hide","Show")</t>
  </si>
  <si>
    <t>="""UICACS"","""",""SQL="",""2=DOCNUM"",""33033298"",""14=CUSTREF"",""9410255696"",""14=U_CUSTREF"",""9410255696"",""15=DOCDATE"",""23/11/2023"",""15=TAXDATE"",""23/11/2023"",""14=CARDCODE"",""CI1077-SGD"",""14=CARDNAME"",""KK WOMEN'S AND CHILDREN'S HOSPITAL"",""14=ITEMCODE"",""MS7JQ-00355GLP"""&amp;",""14=ITEMNAME"",""MS SQLSVRENTCORE SNGL SA MVL 2LIC CORELIC"",""10=QUANTITY"",""5.000000"",""14=U_PONO"",""947151/A/B"",""15=U_PODATE"",""22/11/2023"",""10=U_TLINTCOS"",""0.000000"",""2=SLPCODE"",""132"",""14=SLPNAME"",""E0001-CS"",""14=MEMO"",""WENDY KUM CHIOU SZE"",""14=CONTACTNAME"","""&amp;"FINANCE DEPARTMENT"",""10=LINETOTAL"",""36930.150000"",""14=U_ENR"","""",""14=U_MSENR"",""S7138270"",""14=U_MSPCN"",""B1EFBA40"",""14=ADDRESS2"",""LEE JIA HAO_x000D_KK WOMEN'S AND CHILDREN'S HOSPITAL PTE LTD 100 BUKIT TIMAH ROAD  SINGAPORE 229899_x000D_LEE JIA HAO_x000D_TEL: 83218658_x000D_FAX: _x000D_EM"&amp;"AIL: lee.jia.hao1@synapxe.sg"""</t>
  </si>
  <si>
    <t>=MONTH(N35)</t>
  </si>
  <si>
    <t>=YEAR(N35)</t>
  </si>
  <si>
    <t>=IFERROR(NF($E35,"DOCNUM"),"-")</t>
  </si>
  <si>
    <t>=IFERROR(NF($E35,"DOCDATE"),"-")</t>
  </si>
  <si>
    <t>=IFERROR(NF($E35,"U_MSENR"),"-")</t>
  </si>
  <si>
    <t>=IFERROR(NF($E35,"U_MSPCN"),"-")</t>
  </si>
  <si>
    <t>=IFERROR(NF($E35,"CARDCODE"),"-")</t>
  </si>
  <si>
    <t>=IFERROR(NF($E35,"CARDNAME"),"-")</t>
  </si>
  <si>
    <t>=IFERROR(NF($E35,"U_CUSTREF"),"-")</t>
  </si>
  <si>
    <t>=IFERROR(NF($E35,"U_PODate"),"-")</t>
  </si>
  <si>
    <t>=IFERROR(NF($E35,"DOCdate"),"-")</t>
  </si>
  <si>
    <t>=SUM(N35-U35)</t>
  </si>
  <si>
    <t>=IFERROR(NF($E35,"ITEMCODE"),"-")</t>
  </si>
  <si>
    <t>=IFERROR(NF($E35,"ITEMNAME"),"-")</t>
  </si>
  <si>
    <t>=IFERROR(NF($E35,"MEMO"),"-")</t>
  </si>
  <si>
    <t>=IFERROR(NF($E35,"QUANTITY"),"-")</t>
  </si>
  <si>
    <t>=IFERROR(AC35/AA35,0)</t>
  </si>
  <si>
    <t>=IFERROR(NF($E35,"LINETOTAL"),"-")</t>
  </si>
  <si>
    <t>=IFERROR(NF($E35,"U_BPurDisc"),"-")</t>
  </si>
  <si>
    <t>=IFERROR(NF($E35,"ADDRESS2"),"-")</t>
  </si>
  <si>
    <t>=IFERROR(NF($E35,"ItemCode"),"-")</t>
  </si>
  <si>
    <t>=IFERROR(NF($E35,"ItemName"),"-")</t>
  </si>
  <si>
    <t>=IFERROR(NF($E35,"U_SWSub"),"-")</t>
  </si>
  <si>
    <t>=IFERROR(NF($E35,"U_LicComDt"),"-")</t>
  </si>
  <si>
    <t>=IFERROR(NF($E35,"U_LicEndDt"),"-")</t>
  </si>
  <si>
    <t>=IFERROR(NF($E35,"Comments"),"-")</t>
  </si>
  <si>
    <t>=IF(K36="","Hide","Show")</t>
  </si>
  <si>
    <t>="""UICACS"","""",""SQL="",""2=DOCNUM"",""33033299"",""14=CUSTREF"",""2823403138"",""14=U_CUSTREF"",""2823403138"",""15=DOCDATE"",""23/11/2023"",""15=TAXDATE"",""23/11/2023"",""14=CARDCODE"",""CS0507-SGD"",""14=CARDNAME"",""SENGKANG GENERAL HOSPITAL PTE. LTD."",""14=ITEMCODE"",""MS7NQ-01782GLP"&amp;""",""14=ITEMNAME"",""MS SQL SERVER STANDARD CORE 2022 SLNG 2L"",""10=QUANTITY"",""2.000000"",""14=U_PONO"",""947150"",""15=U_PODATE"",""22/11/2023"",""10=U_TLINTCOS"",""0.000000"",""2=SLPCODE"",""132"",""14=SLPNAME"",""E0001-CS"",""14=MEMO"",""WENDY KUM CHIOU SZE"",""14=CONTACTNAME"",""FINA"&amp;"NCE DEPARTMENT"",""10=LINETOTAL"",""7245.000000"",""14=U_ENR"","""",""14=U_MSENR"",""S7138270"",""14=U_MSPCN"",""BD18AB21"",""14=ADDRESS2"",""LEE SOCK KIANG_x000D_SENGKANG GENERAL HOSPITAL 110 SENGKANG EAST WAY  SINGAPORE 544886_x000D_LEE SOCK KIANG_x000D_TEL: _x000D_FAX: _x000D_EMAIL: lee.sock.kiang@skh"&amp;".com.sg"""</t>
  </si>
  <si>
    <t>=MONTH(N36)</t>
  </si>
  <si>
    <t>=YEAR(N36)</t>
  </si>
  <si>
    <t>=IFERROR(NF($E36,"DOCNUM"),"-")</t>
  </si>
  <si>
    <t>=IFERROR(NF($E36,"DOCDATE"),"-")</t>
  </si>
  <si>
    <t>=IFERROR(NF($E36,"U_MSENR"),"-")</t>
  </si>
  <si>
    <t>=IFERROR(NF($E36,"U_MSPCN"),"-")</t>
  </si>
  <si>
    <t>=IFERROR(NF($E36,"CARDCODE"),"-")</t>
  </si>
  <si>
    <t>=IFERROR(NF($E36,"CARDNAME"),"-")</t>
  </si>
  <si>
    <t>=IFERROR(NF($E36,"U_CUSTREF"),"-")</t>
  </si>
  <si>
    <t>=IFERROR(NF($E36,"U_PODate"),"-")</t>
  </si>
  <si>
    <t>=IFERROR(NF($E36,"DOCdate"),"-")</t>
  </si>
  <si>
    <t>=SUM(N36-U36)</t>
  </si>
  <si>
    <t>=IFERROR(NF($E36,"ITEMCODE"),"-")</t>
  </si>
  <si>
    <t>=IFERROR(NF($E36,"ITEMNAME"),"-")</t>
  </si>
  <si>
    <t>=IFERROR(NF($E36,"MEMO"),"-")</t>
  </si>
  <si>
    <t>=IFERROR(NF($E36,"QUANTITY"),"-")</t>
  </si>
  <si>
    <t>=IFERROR(AC36/AA36,0)</t>
  </si>
  <si>
    <t>=IFERROR(NF($E36,"LINETOTAL"),"-")</t>
  </si>
  <si>
    <t>=IFERROR(NF($E36,"U_BPurDisc"),"-")</t>
  </si>
  <si>
    <t>=IFERROR(NF($E36,"ADDRESS2"),"-")</t>
  </si>
  <si>
    <t>=IFERROR(NF($E36,"ItemCode"),"-")</t>
  </si>
  <si>
    <t>=IFERROR(NF($E36,"ItemName"),"-")</t>
  </si>
  <si>
    <t>=IFERROR(NF($E36,"U_SWSub"),"-")</t>
  </si>
  <si>
    <t>=IFERROR(NF($E36,"U_LicComDt"),"-")</t>
  </si>
  <si>
    <t>=IFERROR(NF($E36,"U_LicEndDt"),"-")</t>
  </si>
  <si>
    <t>=IFERROR(NF($E36,"Comments"),"-")</t>
  </si>
  <si>
    <t>=IF(K37="","Hide","Show")</t>
  </si>
  <si>
    <t>="""UICACS"","""",""SQL="",""2=DOCNUM"",""33033312"",""14=CUSTREF"",""9410255641"",""14=U_CUSTREF"",""9410255641"",""15=DOCDATE"",""24/11/2023"",""15=TAXDATE"",""24/11/2023"",""14=CARDCODE"",""CI1077-SGD"",""14=CARDNAME"",""KK WOMEN'S AND CHILDREN'S HOSPITAL"",""14=ITEMCODE"",""MS021-10695GLP"""&amp;",""14=ITEMNAME"",""MS OFFICE STD 2021 SNGL LTSC"",""10=QUANTITY"",""1.000000"",""14=U_PONO"",""947162"",""15=U_PODATE"",""23/11/2023"",""10=U_TLINTCOS"",""0.000000"",""2=SLPCODE"",""132"",""14=SLPNAME"",""E0001-CS"",""14=MEMO"",""WENDY KUM CHIOU SZE"",""14=CONTACTNAME"",""FINANCE DEPARTMEN"&amp;"T"",""10=LINETOTAL"",""414.400000"",""14=U_ENR"","""",""14=U_MSENR"",""S7138270"",""14=U_MSPCN"",""B1EFBA40"",""14=ADDRESS2"",""MADELINE CHAN HIU GWAN_x000D_KK WOMEN'S AND CHILDREN'S HOSPITAL EXECUTIVE OFFICE @ L3, CHILDREN’S TOWER 100 BUKIT TIMAH ROAD SINGAPORE 229899_x000D_MADELINE CH"&amp;"AN HIU GWAN_x000D_TEL: 91269185 / 6394 1099_x000D_FAX: _x000D_EMAIL: chan.hiu.gwan@kkh.com.sg"""</t>
  </si>
  <si>
    <t>=MONTH(N37)</t>
  </si>
  <si>
    <t>=YEAR(N37)</t>
  </si>
  <si>
    <t>=IFERROR(NF($E37,"DOCNUM"),"-")</t>
  </si>
  <si>
    <t>=IFERROR(NF($E37,"DOCDATE"),"-")</t>
  </si>
  <si>
    <t>=IFERROR(NF($E37,"U_MSENR"),"-")</t>
  </si>
  <si>
    <t>=IFERROR(NF($E37,"U_MSPCN"),"-")</t>
  </si>
  <si>
    <t>=IFERROR(NF($E37,"CARDCODE"),"-")</t>
  </si>
  <si>
    <t>=IFERROR(NF($E37,"CARDNAME"),"-")</t>
  </si>
  <si>
    <t>=IFERROR(NF($E37,"U_CUSTREF"),"-")</t>
  </si>
  <si>
    <t>=IFERROR(NF($E37,"U_PODate"),"-")</t>
  </si>
  <si>
    <t>=IFERROR(NF($E37,"DOCdate"),"-")</t>
  </si>
  <si>
    <t>=SUM(N37-U37)</t>
  </si>
  <si>
    <t>=IFERROR(NF($E37,"ITEMCODE"),"-")</t>
  </si>
  <si>
    <t>=IFERROR(NF($E37,"ITEMNAME"),"-")</t>
  </si>
  <si>
    <t>=IFERROR(NF($E37,"MEMO"),"-")</t>
  </si>
  <si>
    <t>=IFERROR(NF($E37,"QUANTITY"),"-")</t>
  </si>
  <si>
    <t>=IFERROR(AC37/AA37,0)</t>
  </si>
  <si>
    <t>=IFERROR(NF($E37,"LINETOTAL"),"-")</t>
  </si>
  <si>
    <t>=IFERROR(NF($E37,"U_BPurDisc"),"-")</t>
  </si>
  <si>
    <t>=IFERROR(NF($E37,"ADDRESS2"),"-")</t>
  </si>
  <si>
    <t>=IFERROR(NF($E37,"ItemCode"),"-")</t>
  </si>
  <si>
    <t>=IFERROR(NF($E37,"ItemName"),"-")</t>
  </si>
  <si>
    <t>=IFERROR(NF($E37,"U_SWSub"),"-")</t>
  </si>
  <si>
    <t>=IFERROR(NF($E37,"U_LicComDt"),"-")</t>
  </si>
  <si>
    <t>=IFERROR(NF($E37,"U_LicEndDt"),"-")</t>
  </si>
  <si>
    <t>=IFERROR(NF($E37,"Comments"),"-")</t>
  </si>
  <si>
    <t>=IF(K38="","Hide","Show")</t>
  </si>
  <si>
    <t>="""UICACS"","""",""SQL="",""2=DOCNUM"",""33033351"",""14=CUSTREF"",""9410255901"",""14=U_CUSTREF"",""9410255901"",""15=DOCDATE"",""27/11/2023"",""15=TAXDATE"",""27/11/2023"",""14=CARDCODE"",""CI1077-SGD"",""14=CARDNAME"",""KK WOMEN'S AND CHILDREN'S HOSPITAL"",""14=ITEMCODE"",""MS7NQ-00300GLP"""&amp;",""14=ITEMNAME"",""MS SQLSVRSTDCORE SNGL LICSAPK MVL 2LIC CORELIC"",""10=QUANTITY"",""2.000000"",""14=U_PONO"",""947225"",""15=U_PODATE"",""27/11/2023"",""10=U_TLINTCOS"",""0.000000"",""2=SLPCODE"",""132"",""14=SLPNAME"",""E0001-CS"",""14=MEMO"",""WENDY KUM CHIOU SZE"",""14=CONTACTNAME"","&amp;"""FINANCE DEPARTMENT"",""10=LINETOTAL"",""11062.860000"",""14=U_ENR"","""",""14=U_MSENR"",""S7138270"",""14=U_MSPCN"",""B1EFBA40"",""14=ADDRESS2"",""CHONG CHUII KHIM_x000D_KK WOMEN'S AND CHILDREN'S HOSPITAL PTE LTD 100 BUKIT TIMAH ROAD  SINGAPORE 229899_x000D_CHONG CHUII KHIM_x000D_TEL: 902300"&amp;"94_x000D_FAX: _x000D_EMAIL: chong.chuii.khim@synapxe.sg"""</t>
  </si>
  <si>
    <t>=MONTH(N38)</t>
  </si>
  <si>
    <t>=YEAR(N38)</t>
  </si>
  <si>
    <t>=IFERROR(NF($E38,"DOCNUM"),"-")</t>
  </si>
  <si>
    <t>=IFERROR(NF($E38,"DOCDATE"),"-")</t>
  </si>
  <si>
    <t>=IFERROR(NF($E38,"U_MSENR"),"-")</t>
  </si>
  <si>
    <t>=IFERROR(NF($E38,"U_MSPCN"),"-")</t>
  </si>
  <si>
    <t>=IFERROR(NF($E38,"CARDCODE"),"-")</t>
  </si>
  <si>
    <t>=IFERROR(NF($E38,"CARDNAME"),"-")</t>
  </si>
  <si>
    <t>=IFERROR(NF($E38,"U_CUSTREF"),"-")</t>
  </si>
  <si>
    <t>=IFERROR(NF($E38,"U_PODate"),"-")</t>
  </si>
  <si>
    <t>=IFERROR(NF($E38,"DOCdate"),"-")</t>
  </si>
  <si>
    <t>=SUM(N38-U38)</t>
  </si>
  <si>
    <t>=IFERROR(NF($E38,"ITEMCODE"),"-")</t>
  </si>
  <si>
    <t>=IFERROR(NF($E38,"ITEMNAME"),"-")</t>
  </si>
  <si>
    <t>=IFERROR(NF($E38,"MEMO"),"-")</t>
  </si>
  <si>
    <t>=IFERROR(NF($E38,"QUANTITY"),"-")</t>
  </si>
  <si>
    <t>=IFERROR(AC38/AA38,0)</t>
  </si>
  <si>
    <t>=IFERROR(NF($E38,"LINETOTAL"),"-")</t>
  </si>
  <si>
    <t>=IFERROR(NF($E38,"U_BPurDisc"),"-")</t>
  </si>
  <si>
    <t>=IFERROR(NF($E38,"ADDRESS2"),"-")</t>
  </si>
  <si>
    <t>=IFERROR(NF($E38,"ItemCode"),"-")</t>
  </si>
  <si>
    <t>=IFERROR(NF($E38,"ItemName"),"-")</t>
  </si>
  <si>
    <t>=IFERROR(NF($E38,"U_SWSub"),"-")</t>
  </si>
  <si>
    <t>=IFERROR(NF($E38,"U_LicComDt"),"-")</t>
  </si>
  <si>
    <t>=IFERROR(NF($E38,"U_LicEndDt"),"-")</t>
  </si>
  <si>
    <t>=IFERROR(NF($E38,"Comments"),"-")</t>
  </si>
  <si>
    <t>=IF(K39="","Hide","Show")</t>
  </si>
  <si>
    <t>=IFERROR(NF($E39,"DOCNUM"),"-")</t>
  </si>
  <si>
    <t>=IFERROR(NF($E39,"DOCDATE"),"-")</t>
  </si>
  <si>
    <t>=IFERROR(NF($E39,"U_MSENR"),"-")</t>
  </si>
  <si>
    <t>=IFERROR(NF($E39,"CARDCODE"),"-")</t>
  </si>
  <si>
    <t>=IFERROR(NF($E39,"CARDNAME"),"-")</t>
  </si>
  <si>
    <t>=IFERROR(NF($E39,"ITEMCODE"),"-")</t>
  </si>
  <si>
    <t>=IFERROR(NF($E39,"U_CUSTREF"),"-")</t>
  </si>
  <si>
    <t>=IFERROR(NF($E39,"ITEMNAME"),"-")</t>
  </si>
  <si>
    <t>=IFERROR(NF($E39,"MEMO"),"-")</t>
  </si>
  <si>
    <t>=IFERROR(NF($E39,"QUANTITY"),"-")</t>
  </si>
  <si>
    <t>=IFERROR(NF($E39,"CONTACTNAME"),"-")</t>
  </si>
  <si>
    <t>=IFERROR(NF($E39,"ADDRESS2"),"-")</t>
  </si>
  <si>
    <t>=IFERROR(NF($E39,"U_PODATE"),"-")</t>
  </si>
  <si>
    <t>=IFERROR(NF($E39,"U_PONO"),"-")</t>
  </si>
  <si>
    <t>=IFERROR(AB39/V39,0)</t>
  </si>
  <si>
    <t>=IFERROR(NF($E39,"LINETOTAL"),"-")</t>
  </si>
  <si>
    <t>=IF(K40="","Hide","Show")</t>
  </si>
  <si>
    <t>=IFERROR(NF($E40,"DOCNUM"),"-")</t>
  </si>
  <si>
    <t>=IFERROR(NF($E40,"DOCDATE"),"-")</t>
  </si>
  <si>
    <t>=IFERROR(NF($E40,"U_MSENR"),"-")</t>
  </si>
  <si>
    <t>=IFERROR(NF($E40,"CARDCODE"),"-")</t>
  </si>
  <si>
    <t>=IFERROR(NF($E40,"CARDNAME"),"-")</t>
  </si>
  <si>
    <t>=IFERROR(NF($E40,"ITEMCODE"),"-")</t>
  </si>
  <si>
    <t>=IFERROR(NF($E40,"U_CUSTREF"),"-")</t>
  </si>
  <si>
    <t>=IFERROR(NF($E40,"ITEMNAME"),"-")</t>
  </si>
  <si>
    <t>=IFERROR(NF($E40,"MEMO"),"-")</t>
  </si>
  <si>
    <t>=IFERROR(NF($E40,"QUANTITY"),"-")</t>
  </si>
  <si>
    <t>=IFERROR(NF($E40,"CONTACTNAME"),"-")</t>
  </si>
  <si>
    <t>=IFERROR(NF($E40,"ADDRESS2"),"-")</t>
  </si>
  <si>
    <t>=IFERROR(NF($E40,"U_PODATE"),"-")</t>
  </si>
  <si>
    <t>=IFERROR(NF($E40,"U_PONO"),"-")</t>
  </si>
  <si>
    <t>=IFERROR(AB40/V40,0)</t>
  </si>
  <si>
    <t>=IFERROR(NF($E40,"LINETOTAL"),"-")</t>
  </si>
  <si>
    <t>=SUBTOTAL(9,AA24:AA41)</t>
  </si>
  <si>
    <t>=SUBTOTAL(9,AB24:AB41)</t>
  </si>
  <si>
    <t>Auto+Hide+Values+Formulas=Sheet6,Sheet3,Sheet4+FormulasOnly</t>
  </si>
  <si>
    <t>31.10.2026</t>
  </si>
  <si>
    <t>01.12.2023</t>
  </si>
  <si>
    <t>LICENSE WITH SA</t>
  </si>
  <si>
    <t>SA RENEWAL</t>
  </si>
  <si>
    <t>30.11.2026</t>
  </si>
  <si>
    <t>RECEIVED PO IN SEP BUT LOAD TO MS IN NOV 2023 TO ALIGN ANNIVERSARY DATE</t>
  </si>
  <si>
    <t>RECEIVED PO IN OCT BUT  LOAD TO MS IN NOV 2023  TO ALIGN ANNIVERSARY DATE</t>
  </si>
  <si>
    <t>RECEIVED PO IN OCT BUT CAN ONLY LOAD TO MS IN NOV 2023  TO ALIGN ANNIVERSARY DATE</t>
  </si>
  <si>
    <t>31.12.2025</t>
  </si>
  <si>
    <t>01.11.2023</t>
  </si>
  <si>
    <t>01.06.2023</t>
  </si>
  <si>
    <t>NA</t>
  </si>
  <si>
    <t>SINGAPORE CORD BLOOD BANK LIMITED</t>
  </si>
  <si>
    <t>PO23000159</t>
  </si>
  <si>
    <t>CS0276-SGD</t>
  </si>
  <si>
    <t>MS228-11680GLP</t>
  </si>
  <si>
    <t>MS SQL SERVER STANDARD 2022 SLNG</t>
  </si>
  <si>
    <t>MS359-07102GLP</t>
  </si>
  <si>
    <t>MS SQL CAL 2022 SLNG USER CAL</t>
  </si>
  <si>
    <t>8251F2D8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</si>
</sst>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  <numFmt numFmtId="170" formatCode="0.00_);[Red]\(0.00\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60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40" fontId="0" fillId="0" borderId="0" xfId="2" applyNumberFormat="1" applyFont="1" applyAlignment="1">
      <alignment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0" fontId="7" fillId="3" borderId="0" xfId="0" applyNumberFormat="1" applyFont="1" applyFill="1" applyAlignment="1">
      <alignment horizontal="center" vertical="center"/>
    </xf>
    <xf numFmtId="165" fontId="7" fillId="3" borderId="0" xfId="2" applyNumberFormat="1" applyFont="1" applyFill="1" applyAlignment="1">
      <alignment horizontal="left" vertical="center"/>
    </xf>
    <xf numFmtId="165" fontId="7" fillId="3" borderId="0" xfId="2" applyNumberFormat="1" applyFont="1" applyFill="1" applyAlignment="1">
      <alignment horizontal="left" vertical="center" wrapText="1"/>
    </xf>
    <xf numFmtId="165" fontId="7" fillId="3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/>
    </xf>
    <xf numFmtId="38" fontId="0" fillId="0" borderId="0" xfId="2" applyNumberFormat="1" applyFont="1" applyAlignment="1">
      <alignment vertical="top"/>
    </xf>
    <xf numFmtId="40" fontId="8" fillId="0" borderId="0" xfId="2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center" vertical="top"/>
    </xf>
    <xf numFmtId="0" fontId="10" fillId="0" borderId="0" xfId="0" applyFont="1"/>
    <xf numFmtId="0" fontId="0" fillId="0" borderId="0" xfId="0" quotePrefix="1"/>
    <xf numFmtId="0" fontId="0" fillId="0" borderId="0" xfId="0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11" fillId="0" borderId="0" xfId="0" applyFont="1"/>
    <xf numFmtId="166" fontId="11" fillId="0" borderId="0" xfId="0" applyNumberFormat="1" applyFont="1"/>
    <xf numFmtId="14" fontId="0" fillId="2" borderId="0" xfId="0" applyNumberFormat="1" applyFill="1" applyAlignment="1">
      <alignment vertical="top"/>
    </xf>
    <xf numFmtId="14" fontId="0" fillId="6" borderId="0" xfId="0" applyNumberFormat="1" applyFill="1" applyAlignment="1">
      <alignment vertical="top"/>
    </xf>
    <xf numFmtId="14" fontId="4" fillId="0" borderId="0" xfId="1" applyNumberFormat="1" applyFont="1" applyAlignment="1">
      <alignment horizontal="center" vertical="top"/>
    </xf>
    <xf numFmtId="14" fontId="7" fillId="3" borderId="0" xfId="0" applyNumberFormat="1" applyFont="1" applyFill="1" applyAlignment="1">
      <alignment horizontal="center" vertical="center" wrapText="1"/>
    </xf>
    <xf numFmtId="14" fontId="11" fillId="0" borderId="0" xfId="0" applyNumberFormat="1" applyFont="1" applyAlignment="1">
      <alignment horizontal="center"/>
    </xf>
    <xf numFmtId="170" fontId="11" fillId="0" borderId="0" xfId="0" applyNumberFormat="1" applyFont="1"/>
    <xf numFmtId="38" fontId="0" fillId="0" borderId="0" xfId="2" applyNumberFormat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B2"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174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"01/11/2023"</f>
        <v>01/11/2023</v>
      </c>
    </row>
    <row r="4" spans="1:5">
      <c r="A4" s="1" t="s">
        <v>0</v>
      </c>
      <c r="B4" s="4" t="s">
        <v>6</v>
      </c>
      <c r="C4" s="5" t="str">
        <f>"30/11/2023"</f>
        <v>30/11/2023</v>
      </c>
    </row>
    <row r="5" spans="1:5">
      <c r="A5" s="1" t="s">
        <v>0</v>
      </c>
      <c r="B5" s="4" t="s">
        <v>25</v>
      </c>
      <c r="C5" s="4" t="str">
        <f>"*"</f>
        <v>*</v>
      </c>
      <c r="D5" s="4" t="str">
        <f>"Lookup"</f>
        <v>Lookup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01/Nov/2023..30/Nov/2023</v>
      </c>
    </row>
    <row r="9" spans="1:5">
      <c r="A9" s="1" t="s">
        <v>9</v>
      </c>
      <c r="C9" s="3" t="str">
        <f>TEXT($C$3,"yyyyMMdd") &amp; ".." &amp; TEXT($C$4,"yyyyMMdd")</f>
        <v>20231101..20231130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30" t="s">
        <v>53</v>
      </c>
      <c r="D28" s="30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4"/>
    </row>
    <row r="33" spans="7:7">
      <c r="G33" s="14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5"/>
  <sheetViews>
    <sheetView tabSelected="1" topLeftCell="K19" zoomScale="86" zoomScaleNormal="86" workbookViewId="0">
      <selection activeCell="U41" sqref="U41:U42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4" bestFit="1" customWidth="1"/>
    <col min="12" max="12" width="6.28515625" style="18" bestFit="1" customWidth="1"/>
    <col min="13" max="13" width="10.85546875" style="16" bestFit="1" customWidth="1"/>
    <col min="14" max="14" width="15.28515625" style="14" customWidth="1"/>
    <col min="15" max="15" width="12" style="4" customWidth="1"/>
    <col min="16" max="16" width="9.85546875" style="4" bestFit="1" customWidth="1"/>
    <col min="17" max="17" width="7" style="3" customWidth="1"/>
    <col min="18" max="18" width="12" style="4" bestFit="1" customWidth="1"/>
    <col min="19" max="19" width="23.42578125" style="4" customWidth="1"/>
    <col min="20" max="20" width="14.7109375" style="4" bestFit="1" customWidth="1"/>
    <col min="21" max="21" width="20.7109375" style="4" customWidth="1"/>
    <col min="22" max="22" width="28.28515625" style="14" bestFit="1" customWidth="1"/>
    <col min="23" max="23" width="8.5703125" style="4" bestFit="1" customWidth="1"/>
    <col min="24" max="24" width="0.7109375" style="4" customWidth="1"/>
    <col min="25" max="25" width="2.140625" style="4" customWidth="1"/>
    <col min="26" max="26" width="24.140625" style="4" customWidth="1"/>
    <col min="27" max="27" width="10.42578125" style="26" bestFit="1" customWidth="1"/>
    <col min="28" max="28" width="8.7109375" style="26" customWidth="1"/>
    <col min="29" max="29" width="22.7109375" style="4" customWidth="1"/>
    <col min="30" max="30" width="9.28515625" style="4"/>
    <col min="31" max="31" width="10.5703125" style="4" bestFit="1" customWidth="1"/>
    <col min="32" max="32" width="9.28515625" style="4"/>
    <col min="33" max="34" width="9.28515625" style="4" hidden="1" customWidth="1"/>
    <col min="35" max="35" width="11.28515625" style="4" customWidth="1"/>
    <col min="36" max="36" width="18.5703125" style="4" customWidth="1"/>
    <col min="37" max="37" width="49.5703125" style="4" customWidth="1"/>
    <col min="38" max="38" width="13.140625" style="4" customWidth="1"/>
    <col min="39" max="39" width="11.42578125" style="4" customWidth="1"/>
    <col min="40" max="40" width="18.42578125" style="4" customWidth="1"/>
    <col min="41" max="41" width="39" style="4" customWidth="1"/>
    <col min="42" max="16384" width="9.28515625" style="4"/>
  </cols>
  <sheetData>
    <row r="1" spans="1:34" s="1" customFormat="1" hidden="1">
      <c r="A1" s="1" t="s">
        <v>176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2" t="s">
        <v>7</v>
      </c>
      <c r="J1" s="1" t="s">
        <v>48</v>
      </c>
      <c r="K1" s="1" t="s">
        <v>17</v>
      </c>
      <c r="L1" s="19" t="s">
        <v>17</v>
      </c>
      <c r="M1" s="15" t="s">
        <v>17</v>
      </c>
      <c r="N1" s="53" t="s">
        <v>17</v>
      </c>
      <c r="O1" s="1" t="s">
        <v>17</v>
      </c>
      <c r="P1" s="1" t="s">
        <v>17</v>
      </c>
      <c r="Q1" s="2" t="s">
        <v>17</v>
      </c>
      <c r="R1" s="1" t="s">
        <v>17</v>
      </c>
      <c r="S1" s="1" t="s">
        <v>17</v>
      </c>
      <c r="T1" s="1" t="s">
        <v>17</v>
      </c>
      <c r="U1" s="1" t="s">
        <v>17</v>
      </c>
      <c r="V1" s="53" t="s">
        <v>17</v>
      </c>
      <c r="W1" s="1" t="s">
        <v>17</v>
      </c>
      <c r="X1" s="1" t="s">
        <v>7</v>
      </c>
      <c r="Y1" s="1" t="s">
        <v>7</v>
      </c>
      <c r="Z1" s="1" t="s">
        <v>17</v>
      </c>
      <c r="AA1" s="1" t="s">
        <v>17</v>
      </c>
      <c r="AB1" s="1" t="s">
        <v>17</v>
      </c>
      <c r="AG1" s="1" t="s">
        <v>7</v>
      </c>
      <c r="AH1" s="1" t="s">
        <v>7</v>
      </c>
    </row>
    <row r="2" spans="1:34" hidden="1">
      <c r="A2" s="1" t="s">
        <v>7</v>
      </c>
      <c r="D2" s="4" t="s">
        <v>18</v>
      </c>
      <c r="E2" s="4" t="str">
        <f>Option!$C$2</f>
        <v>UICACS</v>
      </c>
    </row>
    <row r="3" spans="1:34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3" t="s">
        <v>23</v>
      </c>
    </row>
    <row r="4" spans="1:34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34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34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34" hidden="1">
      <c r="A7" s="1" t="s">
        <v>7</v>
      </c>
    </row>
    <row r="8" spans="1:34" hidden="1">
      <c r="A8" s="1" t="s">
        <v>7</v>
      </c>
      <c r="K8" s="9"/>
    </row>
    <row r="9" spans="1:34" hidden="1">
      <c r="A9" s="1" t="s">
        <v>7</v>
      </c>
      <c r="K9" s="9"/>
    </row>
    <row r="10" spans="1:34" hidden="1">
      <c r="A10" s="1" t="s">
        <v>7</v>
      </c>
    </row>
    <row r="11" spans="1:34" hidden="1">
      <c r="A11" s="1" t="s">
        <v>7</v>
      </c>
      <c r="C11" s="4" t="s">
        <v>26</v>
      </c>
      <c r="E11" s="4" t="str">
        <f>Option!$C$9</f>
        <v>20231101..20231130</v>
      </c>
      <c r="K11" s="9"/>
    </row>
    <row r="12" spans="1:34" hidden="1">
      <c r="A12" s="1" t="s">
        <v>7</v>
      </c>
      <c r="C12" s="4" t="s">
        <v>27</v>
      </c>
      <c r="E12" s="4" t="str">
        <f>Option!$C$5</f>
        <v>*</v>
      </c>
      <c r="K12" s="9"/>
    </row>
    <row r="13" spans="1:34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9"/>
    </row>
    <row r="14" spans="1:34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9"/>
    </row>
    <row r="15" spans="1:34" hidden="1">
      <c r="A15" s="1" t="s">
        <v>7</v>
      </c>
      <c r="C15" s="4" t="s">
        <v>38</v>
      </c>
      <c r="E15" s="4" t="str">
        <f>Option!$C$12</f>
        <v>'MS'</v>
      </c>
      <c r="Y15" s="14"/>
    </row>
    <row r="16" spans="1:34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41" hidden="1">
      <c r="A17" s="1" t="s">
        <v>7</v>
      </c>
    </row>
    <row r="18" spans="1:41" s="21" customFormat="1" hidden="1">
      <c r="A18" s="21" t="s">
        <v>7</v>
      </c>
      <c r="I18" s="22"/>
      <c r="L18" s="23"/>
      <c r="M18" s="24"/>
      <c r="N18" s="54"/>
      <c r="Q18" s="25"/>
      <c r="V18" s="54"/>
      <c r="AA18" s="27"/>
      <c r="AB18" s="27"/>
    </row>
    <row r="20" spans="1:41" ht="15.75">
      <c r="K20" s="17"/>
      <c r="L20" s="17"/>
      <c r="M20" s="17"/>
      <c r="N20" s="55"/>
      <c r="O20" s="17"/>
      <c r="P20" s="17"/>
      <c r="Q20" s="20"/>
      <c r="R20" s="17"/>
      <c r="S20" s="17"/>
      <c r="T20" s="17"/>
      <c r="U20" s="17"/>
      <c r="V20" s="55"/>
      <c r="W20" s="17"/>
      <c r="X20" s="17"/>
      <c r="Y20" s="17"/>
      <c r="Z20" s="17"/>
    </row>
    <row r="21" spans="1:41" ht="15.75">
      <c r="K21" s="50" t="s">
        <v>40</v>
      </c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41" ht="15.75">
      <c r="K22" s="17"/>
      <c r="L22" s="17"/>
      <c r="M22" s="17"/>
      <c r="N22" s="55"/>
      <c r="O22" s="17"/>
      <c r="P22" s="17"/>
      <c r="Q22" s="20"/>
      <c r="R22" s="17"/>
      <c r="S22" s="17"/>
      <c r="T22" s="17"/>
      <c r="U22" s="17"/>
      <c r="V22" s="55"/>
      <c r="W22" s="17"/>
      <c r="X22" s="17"/>
      <c r="Y22" s="17"/>
      <c r="Z22" s="17"/>
    </row>
    <row r="23" spans="1:41" ht="78.75">
      <c r="E23" s="10" t="s">
        <v>28</v>
      </c>
      <c r="K23" s="31" t="s">
        <v>54</v>
      </c>
      <c r="L23" s="31" t="s">
        <v>55</v>
      </c>
      <c r="M23" s="31" t="s">
        <v>14</v>
      </c>
      <c r="N23" s="34" t="s">
        <v>15</v>
      </c>
      <c r="O23" s="32" t="s">
        <v>29</v>
      </c>
      <c r="P23" s="31" t="s">
        <v>56</v>
      </c>
      <c r="Q23" s="33" t="s">
        <v>57</v>
      </c>
      <c r="R23" s="31" t="s">
        <v>30</v>
      </c>
      <c r="S23" s="33" t="s">
        <v>34</v>
      </c>
      <c r="T23" s="33" t="s">
        <v>32</v>
      </c>
      <c r="U23" s="34" t="s">
        <v>16</v>
      </c>
      <c r="V23" s="56" t="s">
        <v>58</v>
      </c>
      <c r="W23" s="35" t="s">
        <v>59</v>
      </c>
      <c r="X23" s="36" t="s">
        <v>33</v>
      </c>
      <c r="Y23" s="36" t="s">
        <v>12</v>
      </c>
      <c r="Z23" s="33" t="s">
        <v>31</v>
      </c>
      <c r="AA23" s="33" t="s">
        <v>13</v>
      </c>
      <c r="AB23" s="37" t="s">
        <v>49</v>
      </c>
      <c r="AC23" s="37" t="s">
        <v>50</v>
      </c>
      <c r="AD23" s="38" t="s">
        <v>60</v>
      </c>
      <c r="AE23" s="39" t="s">
        <v>61</v>
      </c>
      <c r="AF23" s="39" t="s">
        <v>62</v>
      </c>
      <c r="AG23" s="39" t="s">
        <v>63</v>
      </c>
      <c r="AH23" s="35" t="s">
        <v>64</v>
      </c>
      <c r="AI23" s="35" t="s">
        <v>65</v>
      </c>
      <c r="AJ23" s="35" t="s">
        <v>66</v>
      </c>
      <c r="AK23" s="35" t="s">
        <v>67</v>
      </c>
      <c r="AL23" s="35" t="s">
        <v>68</v>
      </c>
      <c r="AM23" s="35" t="s">
        <v>69</v>
      </c>
      <c r="AN23" s="35" t="s">
        <v>70</v>
      </c>
      <c r="AO23" s="31" t="s">
        <v>71</v>
      </c>
    </row>
    <row r="24" spans="1:41" ht="30">
      <c r="B24" s="1" t="str">
        <f>IF(K24="","Hide","Show")</f>
        <v>Show</v>
      </c>
      <c r="C24" s="4" t="s">
        <v>43</v>
      </c>
      <c r="E24" s="11" t="str">
        <f>"""UICACS"","""",""SQL="",""2=DOCNUM"",""33033148"",""14=CUSTREF"",""6723000990"",""14=U_CUSTREF"",""6723000990"",""15=DOCDATE"",""4/11/2023"",""15=TAXDATE"",""4/11/2023"",""14=CARDCODE"",""CI1256-SGD"",""14=CARDNAME"",""SINGAPORE HEALTH SERVICES PTE LTD"",""14=ITEMCODE"",""MS7NQ-00300GLP"",""1"&amp;"4=ITEMNAME"",""MS SQLSVRSTDCORE SNGL LICSAPK MVL 2LIC CORELIC"",""10=QUANTITY"",""2.000000"",""14=U_PONO"",""945870"",""15=U_PODATE"",""19/9/2023"",""10=U_TLINTCOS"",""0.000000"",""2=SLPCODE"",""132"",""14=SLPNAME"",""E0001-CS"",""14=MEMO"",""WENDY KUM CHIOU SZE"",""14=CONTACTNAME"",""FIN"&amp;"ANCE DEPARTMENT"",""10=LINETOTAL"",""12262.300000"",""14=U_ENR"","""",""14=U_MSENR"",""S7138270"",""14=U_MSPCN"",""A8AA53F5"",""14=ADDRESS2"",""SU HLAING HTUN_x000D_SYNAPXE PTE LTD 6 SERANGOON NORTH AVE 5 #01-01/02 SINGAPORE 554910_x000D_SU HLAING HTUN_x000D_TEL: 91848790_x000D_FAX: _x000D_EMAIL: hlaing."&amp;"htun.su@synapxe.sg"""</f>
        <v>"UICACS","","SQL=","2=DOCNUM","33033148","14=CUSTREF","6723000990","14=U_CUSTREF","6723000990","15=DOCDATE","4/11/2023","15=TAXDATE","4/11/2023","14=CARDCODE","CI1256-SGD","14=CARDNAME","SINGAPORE HEALTH SERVICES PTE LTD","14=ITEMCODE","MS7NQ-00300GLP","14=ITEMNAME","MS SQLSVRSTDCORE SNGL LICSAPK MVL 2LIC CORELIC","10=QUANTITY","2.000000","14=U_PONO","945870","15=U_PODATE","19/9/2023","10=U_TLINTCOS","0.000000","2=SLPCODE","132","14=SLPNAME","E0001-CS","14=MEMO","WENDY KUM CHIOU SZE","14=CONTACTNAME","FINANCE DEPARTMENT","10=LINETOTAL","12262.300000","14=U_ENR","","14=U_MSENR","S7138270","14=U_MSPCN","A8AA53F5","14=ADDRESS2","SU HLAING HTUN_x000D_SYNAPXE PTE LTD 6 SERANGOON NORTH AVE 5 #01-01/02 SINGAPORE 554910_x000D_SU HLAING HTUN_x000D_TEL: 91848790_x000D_FAX: _x000D_EMAIL: hlaing.htun.su@synapxe.sg"</v>
      </c>
      <c r="K24" s="18">
        <f t="shared" ref="K24:K38" si="0">MONTH(N24)</f>
        <v>11</v>
      </c>
      <c r="L24" s="18">
        <f t="shared" ref="L24:L38" si="1">YEAR(N24)</f>
        <v>2023</v>
      </c>
      <c r="M24" s="4">
        <v>33033148</v>
      </c>
      <c r="N24" s="40">
        <v>45234</v>
      </c>
      <c r="O24" s="18" t="str">
        <f t="shared" ref="O24:O38" si="2">"S7138270"</f>
        <v>S7138270</v>
      </c>
      <c r="P24" s="18" t="str">
        <f>"A8AA53F5"</f>
        <v>A8AA53F5</v>
      </c>
      <c r="Q24" s="18"/>
      <c r="R24" s="18" t="str">
        <f>"CI1256-SGD"</f>
        <v>CI1256-SGD</v>
      </c>
      <c r="S24" s="4" t="str">
        <f>"SINGAPORE HEALTH SERVICES PTE LTD"</f>
        <v>SINGAPORE HEALTH SERVICES PTE LTD</v>
      </c>
      <c r="T24" s="18" t="str">
        <f>"6723000990"</f>
        <v>6723000990</v>
      </c>
      <c r="U24" s="40">
        <v>45188</v>
      </c>
      <c r="V24" s="40">
        <v>45234</v>
      </c>
      <c r="W24" s="41">
        <f t="shared" ref="W24:W42" si="3">SUM(N24-U24)</f>
        <v>46</v>
      </c>
      <c r="X24" s="42" t="str">
        <f>"MS7NQ-00300GLP"</f>
        <v>MS7NQ-00300GLP</v>
      </c>
      <c r="Y24" s="42" t="str">
        <f>"MS SQLSVRSTDCORE SNGL LICSAPK MVL 2LIC CORELIC"</f>
        <v>MS SQLSVRSTDCORE SNGL LICSAPK MVL 2LIC CORELIC</v>
      </c>
      <c r="Z24" s="42" t="str">
        <f t="shared" ref="Z24:Z38" si="4">"WENDY KUM CHIOU SZE"</f>
        <v>WENDY KUM CHIOU SZE</v>
      </c>
      <c r="AA24" s="41">
        <v>2</v>
      </c>
      <c r="AB24" s="43">
        <f t="shared" ref="AB24:AB38" si="5">IFERROR(AC24/AA24,0)</f>
        <v>6131.15</v>
      </c>
      <c r="AC24" s="29">
        <v>12262.3</v>
      </c>
      <c r="AD24" s="18" t="str">
        <f t="shared" ref="AD24:AD38" si="6">"-"</f>
        <v>-</v>
      </c>
      <c r="AE24" s="44">
        <v>12262.3</v>
      </c>
      <c r="AF24" s="28" t="s">
        <v>72</v>
      </c>
      <c r="AG24" s="45" t="str">
        <f>"SU HLAING HTUN_x000D_SYNAPXE PTE LTD 6 SERANGOON NORTH AVE 5 #01-01/02 SINGAPORE 554910_x000D_SU HLAING HTUN_x000D_TEL: 91848790_x000D_FAX: _x000D_EMAIL: hlaing.htun.su@synapxe.sg"</f>
        <v>SU HLAING HTUN_x000D_SYNAPXE PTE LTD 6 SERANGOON NORTH AVE 5 #01-01/02 SINGAPORE 554910_x000D_SU HLAING HTUN_x000D_TEL: 91848790_x000D_FAX: _x000D_EMAIL: hlaing.htun.su@synapxe.sg</v>
      </c>
      <c r="AH24" s="46" t="s">
        <v>73</v>
      </c>
      <c r="AI24" s="46" t="s">
        <v>74</v>
      </c>
      <c r="AJ24" s="3" t="str">
        <f>"MS7NQ-00300GLP"</f>
        <v>MS7NQ-00300GLP</v>
      </c>
      <c r="AK24" s="3" t="str">
        <f>"MS SQLSVRSTDCORE SNGL LICSAPK MVL 2LIC CORELIC"</f>
        <v>MS SQLSVRSTDCORE SNGL LICSAPK MVL 2LIC CORELIC</v>
      </c>
      <c r="AL24" s="18" t="s">
        <v>582</v>
      </c>
      <c r="AM24" s="18" t="s">
        <v>581</v>
      </c>
      <c r="AN24" s="18" t="s">
        <v>580</v>
      </c>
      <c r="AO24" s="49" t="s">
        <v>585</v>
      </c>
    </row>
    <row r="25" spans="1:41" ht="30">
      <c r="A25" s="1" t="s">
        <v>173</v>
      </c>
      <c r="B25" s="1" t="str">
        <f t="shared" ref="B25:B38" si="7">IF(K25="","Hide","Show")</f>
        <v>Show</v>
      </c>
      <c r="C25" s="4" t="s">
        <v>43</v>
      </c>
      <c r="E25" s="11" t="str">
        <f>"""UICACS"","""",""SQL="",""2=DOCNUM"",""33033159"",""14=CUSTREF"",""4203172399"",""14=U_CUSTREF"",""4203172399"",""15=DOCDATE"",""7/11/2023"",""15=TAXDATE"",""7/11/2023"",""14=CARDCODE"",""CI1261-SGD"",""14=CARDNAME"",""CHANGI GENERAL HOSPITAL PTE LTD"",""14=ITEMCODE"",""MS9EA-00264GLP"",""14="&amp;"ITEMNAME"",""MS WINSVRDCCORE SNGL SA MVL 16LIC CORELIC"",""10=QUANTITY"",""5.000000"",""14=U_PONO"",""946000/A"",""15=U_PODATE"",""26/9/2023"",""10=U_TLINTCOS"",""0.000000"",""2=SLPCODE"",""132"",""14=SLPNAME"",""E0001-CS"",""14=MEMO"",""WENDY KUM CHIOU SZE"",""14=CONTACTNAME"",""E-INVOIC"&amp;"E"",""10=LINETOTAL"",""20561.600000"",""14=U_ENR"","""",""14=U_MSENR"",""S7138270"",""14=U_MSPCN"",""83288253"",""14=ADDRESS2"",""ZAYAR AUNG_x000D_CHANGI GENERAL HOSPITAL 2 SIMEI STREET 3  SINGAPORE 529889_x000D_ZAYAR AUNG_x000D_TEL: 6936 5182_x000D_FAX: _x000D_EMAIL: zayar.aung@synapxe.sg"""</f>
        <v>"UICACS","","SQL=","2=DOCNUM","33033159","14=CUSTREF","4203172399","14=U_CUSTREF","4203172399","15=DOCDATE","7/11/2023","15=TAXDATE","7/11/2023","14=CARDCODE","CI1261-SGD","14=CARDNAME","CHANGI GENERAL HOSPITAL PTE LTD","14=ITEMCODE","MS9EA-00264GLP","14=ITEMNAME","MS WINSVRDCCORE SNGL SA MVL 16LIC CORELIC","10=QUANTITY","5.000000","14=U_PONO","946000/A","15=U_PODATE","26/9/2023","10=U_TLINTCOS","0.000000","2=SLPCODE","132","14=SLPNAME","E0001-CS","14=MEMO","WENDY KUM CHIOU SZE","14=CONTACTNAME","E-INVOICE","10=LINETOTAL","20561.600000","14=U_ENR","","14=U_MSENR","S7138270","14=U_MSPCN","83288253","14=ADDRESS2","ZAYAR AUNG_x000D_CHANGI GENERAL HOSPITAL 2 SIMEI STREET 3  SINGAPORE 529889_x000D_ZAYAR AUNG_x000D_TEL: 6936 5182_x000D_FAX: _x000D_EMAIL: zayar.aung@synapxe.sg"</v>
      </c>
      <c r="K25" s="18">
        <f t="shared" si="0"/>
        <v>11</v>
      </c>
      <c r="L25" s="18">
        <f t="shared" si="1"/>
        <v>2023</v>
      </c>
      <c r="M25" s="4">
        <v>33033159</v>
      </c>
      <c r="N25" s="40">
        <v>45237</v>
      </c>
      <c r="O25" s="18" t="str">
        <f t="shared" si="2"/>
        <v>S7138270</v>
      </c>
      <c r="P25" s="18" t="str">
        <f>"83288253"</f>
        <v>83288253</v>
      </c>
      <c r="Q25" s="18"/>
      <c r="R25" s="18" t="str">
        <f>"CI1261-SGD"</f>
        <v>CI1261-SGD</v>
      </c>
      <c r="S25" s="4" t="str">
        <f>"CHANGI GENERAL HOSPITAL PTE LTD"</f>
        <v>CHANGI GENERAL HOSPITAL PTE LTD</v>
      </c>
      <c r="T25" s="18" t="str">
        <f>"4203172399"</f>
        <v>4203172399</v>
      </c>
      <c r="U25" s="40">
        <v>45195</v>
      </c>
      <c r="V25" s="40">
        <v>45237</v>
      </c>
      <c r="W25" s="41">
        <f t="shared" si="3"/>
        <v>42</v>
      </c>
      <c r="X25" s="42" t="str">
        <f>"MS9EA-00264GLP"</f>
        <v>MS9EA-00264GLP</v>
      </c>
      <c r="Y25" s="42" t="str">
        <f>"MS WINSVRDCCORE SNGL SA MVL 16LIC CORELIC"</f>
        <v>MS WINSVRDCCORE SNGL SA MVL 16LIC CORELIC</v>
      </c>
      <c r="Z25" s="42" t="str">
        <f t="shared" si="4"/>
        <v>WENDY KUM CHIOU SZE</v>
      </c>
      <c r="AA25" s="41">
        <v>5</v>
      </c>
      <c r="AB25" s="43">
        <f t="shared" si="5"/>
        <v>4112.32</v>
      </c>
      <c r="AC25" s="29">
        <v>20561.599999999999</v>
      </c>
      <c r="AD25" s="18" t="str">
        <f t="shared" si="6"/>
        <v>-</v>
      </c>
      <c r="AE25" s="44">
        <v>20561.599999999999</v>
      </c>
      <c r="AF25" s="28" t="s">
        <v>72</v>
      </c>
      <c r="AG25" s="45" t="str">
        <f>"ZAYAR AUNG_x000D_CHANGI GENERAL HOSPITAL 2 SIMEI STREET 3  SINGAPORE 529889_x000D_ZAYAR AUNG_x000D_TEL: 6936 5182_x000D_FAX: _x000D_EMAIL: zayar.aung@synapxe.sg"</f>
        <v>ZAYAR AUNG_x000D_CHANGI GENERAL HOSPITAL 2 SIMEI STREET 3  SINGAPORE 529889_x000D_ZAYAR AUNG_x000D_TEL: 6936 5182_x000D_FAX: _x000D_EMAIL: zayar.aung@synapxe.sg</v>
      </c>
      <c r="AH25" s="46" t="s">
        <v>73</v>
      </c>
      <c r="AI25" s="46" t="s">
        <v>74</v>
      </c>
      <c r="AJ25" s="3" t="str">
        <f>"MS9EA-00264GLP"</f>
        <v>MS9EA-00264GLP</v>
      </c>
      <c r="AK25" s="3" t="str">
        <f>"MS WINSVRDCCORE SNGL SA MVL 16LIC CORELIC"</f>
        <v>MS WINSVRDCCORE SNGL SA MVL 16LIC CORELIC</v>
      </c>
      <c r="AL25" s="18" t="s">
        <v>583</v>
      </c>
      <c r="AM25" s="18" t="s">
        <v>581</v>
      </c>
      <c r="AN25" s="18" t="s">
        <v>584</v>
      </c>
      <c r="AO25" s="49" t="s">
        <v>585</v>
      </c>
    </row>
    <row r="26" spans="1:41" ht="30">
      <c r="A26" s="1" t="s">
        <v>173</v>
      </c>
      <c r="B26" s="1" t="str">
        <f t="shared" si="7"/>
        <v>Show</v>
      </c>
      <c r="C26" s="4" t="s">
        <v>43</v>
      </c>
      <c r="E26" s="11" t="str">
        <f>"""UICACS"","""",""SQL="",""2=DOCNUM"",""33033159"",""14=CUSTREF"",""4203172399"",""14=U_CUSTREF"",""4203172399"",""15=DOCDATE"",""7/11/2023"",""15=TAXDATE"",""7/11/2023"",""14=CARDCODE"",""CI1261-SGD"",""14=CARDNAME"",""CHANGI GENERAL HOSPITAL PTE LTD"",""14=ITEMCODE"",""MS7NQ-00301GLP"",""14="&amp;"ITEMNAME"",""MS SQLSVRSTDCORE SNGL SA MVL 2LIC CORELIC"",""10=QUANTITY"",""2.000000"",""14=U_PONO"",""946000/A"",""15=U_PODATE"",""26/9/2023"",""10=U_TLINTCOS"",""0.000000"",""2=SLPCODE"",""132"",""14=SLPNAME"",""E0001-CS"",""14=MEMO"",""WENDY KUM CHIOU SZE"",""14=CONTACTNAME"",""E-INVOIC"&amp;"E"",""10=LINETOTAL"",""5265.420000"",""14=U_ENR"","""",""14=U_MSENR"",""S7138270"",""14=U_MSPCN"",""83288253"",""14=ADDRESS2"",""ZAYAR AUNG_x000D_CHANGI GENERAL HOSPITAL 2 SIMEI STREET 3  SINGAPORE 529889_x000D_ZAYAR AUNG_x000D_TEL: 6936 5182_x000D_FAX: _x000D_EMAIL: zayar.aung@synapxe.sg"""</f>
        <v>"UICACS","","SQL=","2=DOCNUM","33033159","14=CUSTREF","4203172399","14=U_CUSTREF","4203172399","15=DOCDATE","7/11/2023","15=TAXDATE","7/11/2023","14=CARDCODE","CI1261-SGD","14=CARDNAME","CHANGI GENERAL HOSPITAL PTE LTD","14=ITEMCODE","MS7NQ-00301GLP","14=ITEMNAME","MS SQLSVRSTDCORE SNGL SA MVL 2LIC CORELIC","10=QUANTITY","2.000000","14=U_PONO","946000/A","15=U_PODATE","26/9/2023","10=U_TLINTCOS","0.000000","2=SLPCODE","132","14=SLPNAME","E0001-CS","14=MEMO","WENDY KUM CHIOU SZE","14=CONTACTNAME","E-INVOICE","10=LINETOTAL","5265.420000","14=U_ENR","","14=U_MSENR","S7138270","14=U_MSPCN","83288253","14=ADDRESS2","ZAYAR AUNG_x000D_CHANGI GENERAL HOSPITAL 2 SIMEI STREET 3  SINGAPORE 529889_x000D_ZAYAR AUNG_x000D_TEL: 6936 5182_x000D_FAX: _x000D_EMAIL: zayar.aung@synapxe.sg"</v>
      </c>
      <c r="K26" s="18">
        <f t="shared" si="0"/>
        <v>11</v>
      </c>
      <c r="L26" s="18">
        <f t="shared" si="1"/>
        <v>2023</v>
      </c>
      <c r="M26" s="4">
        <v>33033159</v>
      </c>
      <c r="N26" s="40">
        <v>45237</v>
      </c>
      <c r="O26" s="18" t="str">
        <f t="shared" si="2"/>
        <v>S7138270</v>
      </c>
      <c r="P26" s="18" t="str">
        <f>"83288253"</f>
        <v>83288253</v>
      </c>
      <c r="Q26" s="18"/>
      <c r="R26" s="18" t="str">
        <f>"CI1261-SGD"</f>
        <v>CI1261-SGD</v>
      </c>
      <c r="S26" s="4" t="str">
        <f>"CHANGI GENERAL HOSPITAL PTE LTD"</f>
        <v>CHANGI GENERAL HOSPITAL PTE LTD</v>
      </c>
      <c r="T26" s="18" t="str">
        <f>"4203172399"</f>
        <v>4203172399</v>
      </c>
      <c r="U26" s="40">
        <v>45195</v>
      </c>
      <c r="V26" s="40">
        <v>45237</v>
      </c>
      <c r="W26" s="41">
        <f t="shared" si="3"/>
        <v>42</v>
      </c>
      <c r="X26" s="42" t="str">
        <f>"MS7NQ-00301GLP"</f>
        <v>MS7NQ-00301GLP</v>
      </c>
      <c r="Y26" s="42" t="str">
        <f>"MS SQLSVRSTDCORE SNGL SA MVL 2LIC CORELIC"</f>
        <v>MS SQLSVRSTDCORE SNGL SA MVL 2LIC CORELIC</v>
      </c>
      <c r="Z26" s="42" t="str">
        <f t="shared" si="4"/>
        <v>WENDY KUM CHIOU SZE</v>
      </c>
      <c r="AA26" s="41">
        <v>2</v>
      </c>
      <c r="AB26" s="43">
        <f t="shared" si="5"/>
        <v>2632.71</v>
      </c>
      <c r="AC26" s="29">
        <v>5265.42</v>
      </c>
      <c r="AD26" s="18" t="str">
        <f t="shared" si="6"/>
        <v>-</v>
      </c>
      <c r="AE26" s="44">
        <v>5265.42</v>
      </c>
      <c r="AF26" s="28" t="s">
        <v>72</v>
      </c>
      <c r="AG26" s="45" t="str">
        <f>"ZAYAR AUNG_x000D_CHANGI GENERAL HOSPITAL 2 SIMEI STREET 3  SINGAPORE 529889_x000D_ZAYAR AUNG_x000D_TEL: 6936 5182_x000D_FAX: _x000D_EMAIL: zayar.aung@synapxe.sg"</f>
        <v>ZAYAR AUNG_x000D_CHANGI GENERAL HOSPITAL 2 SIMEI STREET 3  SINGAPORE 529889_x000D_ZAYAR AUNG_x000D_TEL: 6936 5182_x000D_FAX: _x000D_EMAIL: zayar.aung@synapxe.sg</v>
      </c>
      <c r="AH26" s="46" t="s">
        <v>73</v>
      </c>
      <c r="AI26" s="46" t="s">
        <v>74</v>
      </c>
      <c r="AJ26" s="3" t="str">
        <f>"MS7NQ-00301GLP"</f>
        <v>MS7NQ-00301GLP</v>
      </c>
      <c r="AK26" s="3" t="str">
        <f>"MS SQLSVRSTDCORE SNGL SA MVL 2LIC CORELIC"</f>
        <v>MS SQLSVRSTDCORE SNGL SA MVL 2LIC CORELIC</v>
      </c>
      <c r="AL26" s="18" t="s">
        <v>583</v>
      </c>
      <c r="AM26" s="18" t="s">
        <v>581</v>
      </c>
      <c r="AN26" s="18" t="s">
        <v>584</v>
      </c>
      <c r="AO26" s="49" t="s">
        <v>586</v>
      </c>
    </row>
    <row r="27" spans="1:41" ht="45">
      <c r="A27" s="1" t="s">
        <v>173</v>
      </c>
      <c r="B27" s="1" t="str">
        <f t="shared" si="7"/>
        <v>Show</v>
      </c>
      <c r="C27" s="4" t="s">
        <v>43</v>
      </c>
      <c r="E27" s="11" t="str">
        <f>"""UICACS"","""",""SQL="",""2=DOCNUM"",""33033167"",""14=CUSTREF"",""2823402892"",""14=U_CUSTREF"",""2823402892"",""15=DOCDATE"",""7/11/2023"",""15=TAXDATE"",""7/11/2023"",""14=CARDCODE"",""CS0507-SGD"",""14=CARDNAME"",""SENGKANG GENERAL HOSPITAL PTE. LTD."",""14=ITEMCODE"",""MS7NQ-00300GLP"","&amp;"""14=ITEMNAME"",""MS SQLSVRSTDCORE SNGL LICSAPK MVL 2LIC CORELIC"",""10=QUANTITY"",""4.000000"",""14=U_PONO"",""946579"",""15=U_PODATE"",""25/10/2023"",""10=U_TLINTCOS"",""0.000000"",""2=SLPCODE"",""132"",""14=SLPNAME"",""E0001-CS"",""14=MEMO"",""WENDY KUM CHIOU SZE"",""14=CONTACTNAME"","""&amp;"FINANCE DEPARTMENT"",""10=LINETOTAL"",""25055.600000"",""14=U_ENR"","""",""14=U_MSENR"",""S7138270"",""14=U_MSPCN"",""BD18AB21"",""14=ADDRESS2"",""FREDERICK TEA_x000D_SENGKANG GENERAL HOSPITAL 110 SENGKANG EAST WAY  SINGAPORE 544886_x000D_MR FREDERICK TEA_x000D_TEL: 94567202/63706139_x000D_FAX: _x000D_EM"&amp;"AIL: frederick.tea@ihis.com.sg"""</f>
        <v>"UICACS","","SQL=","2=DOCNUM","33033167","14=CUSTREF","2823402892","14=U_CUSTREF","2823402892","15=DOCDATE","7/11/2023","15=TAXDATE","7/11/2023","14=CARDCODE","CS0507-SGD","14=CARDNAME","SENGKANG GENERAL HOSPITAL PTE. LTD.","14=ITEMCODE","MS7NQ-00300GLP","14=ITEMNAME","MS SQLSVRSTDCORE SNGL LICSAPK MVL 2LIC CORELIC","10=QUANTITY","4.000000","14=U_PONO","946579","15=U_PODATE","25/10/2023","10=U_TLINTCOS","0.000000","2=SLPCODE","132","14=SLPNAME","E0001-CS","14=MEMO","WENDY KUM CHIOU SZE","14=CONTACTNAME","FINANCE DEPARTMENT","10=LINETOTAL","25055.600000","14=U_ENR","","14=U_MSENR","S7138270","14=U_MSPCN","BD18AB21","14=ADDRESS2","FREDERICK TEA_x000D_SENGKANG GENERAL HOSPITAL 110 SENGKANG EAST WAY  SINGAPORE 544886_x000D_MR FREDERICK TEA_x000D_TEL: 94567202/63706139_x000D_FAX: _x000D_EMAIL: frederick.tea@ihis.com.sg"</v>
      </c>
      <c r="K27" s="18">
        <f t="shared" si="0"/>
        <v>11</v>
      </c>
      <c r="L27" s="18">
        <f t="shared" si="1"/>
        <v>2023</v>
      </c>
      <c r="M27" s="4">
        <v>33033167</v>
      </c>
      <c r="N27" s="40">
        <v>45237</v>
      </c>
      <c r="O27" s="18" t="str">
        <f t="shared" si="2"/>
        <v>S7138270</v>
      </c>
      <c r="P27" s="18" t="str">
        <f>"BD18AB21"</f>
        <v>BD18AB21</v>
      </c>
      <c r="Q27" s="18"/>
      <c r="R27" s="18" t="str">
        <f>"CS0507-SGD"</f>
        <v>CS0507-SGD</v>
      </c>
      <c r="S27" s="4" t="str">
        <f>"SENGKANG GENERAL HOSPITAL PTE. LTD."</f>
        <v>SENGKANG GENERAL HOSPITAL PTE. LTD.</v>
      </c>
      <c r="T27" s="18" t="str">
        <f>"2823402892"</f>
        <v>2823402892</v>
      </c>
      <c r="U27" s="40">
        <v>45224</v>
      </c>
      <c r="V27" s="40">
        <v>45237</v>
      </c>
      <c r="W27" s="41">
        <f t="shared" si="3"/>
        <v>13</v>
      </c>
      <c r="X27" s="42" t="str">
        <f>"MS7NQ-00300GLP"</f>
        <v>MS7NQ-00300GLP</v>
      </c>
      <c r="Y27" s="42" t="str">
        <f>"MS SQLSVRSTDCORE SNGL LICSAPK MVL 2LIC CORELIC"</f>
        <v>MS SQLSVRSTDCORE SNGL LICSAPK MVL 2LIC CORELIC</v>
      </c>
      <c r="Z27" s="42" t="str">
        <f t="shared" si="4"/>
        <v>WENDY KUM CHIOU SZE</v>
      </c>
      <c r="AA27" s="41">
        <v>4</v>
      </c>
      <c r="AB27" s="43">
        <f t="shared" si="5"/>
        <v>6263.9</v>
      </c>
      <c r="AC27" s="29">
        <v>25055.599999999999</v>
      </c>
      <c r="AD27" s="18" t="str">
        <f t="shared" si="6"/>
        <v>-</v>
      </c>
      <c r="AE27" s="44">
        <v>25055.599999999999</v>
      </c>
      <c r="AF27" s="28" t="s">
        <v>72</v>
      </c>
      <c r="AG27" s="45" t="str">
        <f>"FREDERICK TEA_x000D_SENGKANG GENERAL HOSPITAL 110 SENGKANG EAST WAY  SINGAPORE 544886_x000D_MR FREDERICK TEA_x000D_TEL: 94567202/63706139_x000D_FAX: _x000D_EMAIL: frederick.tea@ihis.com.sg"</f>
        <v>FREDERICK TEA_x000D_SENGKANG GENERAL HOSPITAL 110 SENGKANG EAST WAY  SINGAPORE 544886_x000D_MR FREDERICK TEA_x000D_TEL: 94567202/63706139_x000D_FAX: _x000D_EMAIL: frederick.tea@ihis.com.sg</v>
      </c>
      <c r="AH27" s="46" t="s">
        <v>73</v>
      </c>
      <c r="AI27" s="46" t="s">
        <v>74</v>
      </c>
      <c r="AJ27" s="3" t="str">
        <f>"MS7NQ-00300GLP"</f>
        <v>MS7NQ-00300GLP</v>
      </c>
      <c r="AK27" s="3" t="str">
        <f>"MS SQLSVRSTDCORE SNGL LICSAPK MVL 2LIC CORELIC"</f>
        <v>MS SQLSVRSTDCORE SNGL LICSAPK MVL 2LIC CORELIC</v>
      </c>
      <c r="AL27" s="18" t="s">
        <v>582</v>
      </c>
      <c r="AM27" s="18" t="s">
        <v>581</v>
      </c>
      <c r="AN27" s="18" t="s">
        <v>580</v>
      </c>
      <c r="AO27" s="49" t="s">
        <v>587</v>
      </c>
    </row>
    <row r="28" spans="1:41" ht="45">
      <c r="A28" s="1" t="s">
        <v>173</v>
      </c>
      <c r="B28" s="1" t="str">
        <f t="shared" si="7"/>
        <v>Show</v>
      </c>
      <c r="C28" s="4" t="s">
        <v>43</v>
      </c>
      <c r="E28" s="11" t="str">
        <f>"""UICACS"","""",""SQL="",""2=DOCNUM"",""33033168"",""14=CUSTREF"",""4203173052"",""14=U_CUSTREF"",""4203173052"",""15=DOCDATE"",""7/11/2023"",""15=TAXDATE"",""7/11/2023"",""14=CARDCODE"",""CI1261-SGD"",""14=CARDNAME"",""CHANGI GENERAL HOSPITAL PTE LTD"",""14=ITEMCODE"",""MS228-04529GLP"",""14="&amp;"ITEMNAME"",""MS SQLSVRSTD SNGL SA MVL"",""10=QUANTITY"",""2.000000"",""14=U_PONO"",""946576"",""15=U_PODATE"",""14/10/2023"",""10=U_TLINTCOS"",""0.000000"",""2=SLPCODE"",""132"",""14=SLPNAME"",""E0001-CS"",""14=MEMO"",""WENDY KUM CHIOU SZE"",""14=CONTACTNAME"",""E-INVOICE"",""10=LINETOTAL"","&amp;"""1329.160000"",""14=U_ENR"","""",""14=U_MSENR"",""S7138270"",""14=U_MSPCN"",""83288253"",""14=ADDRESS2"",""JOCELYN TAN SU YI_x000D_CHANGI GENERAL HOSPITAL 2 SIMEI STREET 3  SINGAPORE 529889_x000D_JOCELYN TAN SU YI_x000D_TEL: 83882343_x000D_FAX: _x000D_EMAIL: JOCELYN.TAN2@synapxe.sg"""</f>
        <v>"UICACS","","SQL=","2=DOCNUM","33033168","14=CUSTREF","4203173052","14=U_CUSTREF","4203173052","15=DOCDATE","7/11/2023","15=TAXDATE","7/11/2023","14=CARDCODE","CI1261-SGD","14=CARDNAME","CHANGI GENERAL HOSPITAL PTE LTD","14=ITEMCODE","MS228-04529GLP","14=ITEMNAME","MS SQLSVRSTD SNGL SA MVL","10=QUANTITY","2.000000","14=U_PONO","946576","15=U_PODATE","14/10/2023","10=U_TLINTCOS","0.000000","2=SLPCODE","132","14=SLPNAME","E0001-CS","14=MEMO","WENDY KUM CHIOU SZE","14=CONTACTNAME","E-INVOICE","10=LINETOTAL","1329.160000","14=U_ENR","","14=U_MSENR","S7138270","14=U_MSPCN","83288253","14=ADDRESS2","JOCELYN TAN SU YI_x000D_CHANGI GENERAL HOSPITAL 2 SIMEI STREET 3  SINGAPORE 529889_x000D_JOCELYN TAN SU YI_x000D_TEL: 83882343_x000D_FAX: _x000D_EMAIL: JOCELYN.TAN2@synapxe.sg"</v>
      </c>
      <c r="K28" s="18">
        <f t="shared" si="0"/>
        <v>11</v>
      </c>
      <c r="L28" s="18">
        <f t="shared" si="1"/>
        <v>2023</v>
      </c>
      <c r="M28" s="4">
        <v>33033168</v>
      </c>
      <c r="N28" s="40">
        <v>45237</v>
      </c>
      <c r="O28" s="18" t="str">
        <f t="shared" si="2"/>
        <v>S7138270</v>
      </c>
      <c r="P28" s="18" t="str">
        <f>"83288253"</f>
        <v>83288253</v>
      </c>
      <c r="Q28" s="18"/>
      <c r="R28" s="18" t="str">
        <f>"CI1261-SGD"</f>
        <v>CI1261-SGD</v>
      </c>
      <c r="S28" s="4" t="str">
        <f>"CHANGI GENERAL HOSPITAL PTE LTD"</f>
        <v>CHANGI GENERAL HOSPITAL PTE LTD</v>
      </c>
      <c r="T28" s="18" t="str">
        <f>"4203173052"</f>
        <v>4203173052</v>
      </c>
      <c r="U28" s="40">
        <v>45213</v>
      </c>
      <c r="V28" s="40">
        <v>45237</v>
      </c>
      <c r="W28" s="41">
        <f t="shared" si="3"/>
        <v>24</v>
      </c>
      <c r="X28" s="42" t="str">
        <f>"MS228-04529GLP"</f>
        <v>MS228-04529GLP</v>
      </c>
      <c r="Y28" s="42" t="str">
        <f>"MS SQLSVRSTD SNGL SA MVL"</f>
        <v>MS SQLSVRSTD SNGL SA MVL</v>
      </c>
      <c r="Z28" s="42" t="str">
        <f t="shared" si="4"/>
        <v>WENDY KUM CHIOU SZE</v>
      </c>
      <c r="AA28" s="41">
        <v>2</v>
      </c>
      <c r="AB28" s="43">
        <f t="shared" si="5"/>
        <v>664.58</v>
      </c>
      <c r="AC28" s="29">
        <v>1329.16</v>
      </c>
      <c r="AD28" s="18" t="str">
        <f t="shared" si="6"/>
        <v>-</v>
      </c>
      <c r="AE28" s="44">
        <v>1329.16</v>
      </c>
      <c r="AF28" s="28" t="s">
        <v>72</v>
      </c>
      <c r="AG28" s="45" t="str">
        <f>"JOCELYN TAN SU YI_x000D_CHANGI GENERAL HOSPITAL 2 SIMEI STREET 3  SINGAPORE 529889_x000D_JOCELYN TAN SU YI_x000D_TEL: 83882343_x000D_FAX: _x000D_EMAIL: JOCELYN.TAN2@synapxe.sg"</f>
        <v>JOCELYN TAN SU YI_x000D_CHANGI GENERAL HOSPITAL 2 SIMEI STREET 3  SINGAPORE 529889_x000D_JOCELYN TAN SU YI_x000D_TEL: 83882343_x000D_FAX: _x000D_EMAIL: JOCELYN.TAN2@synapxe.sg</v>
      </c>
      <c r="AH28" s="46" t="s">
        <v>73</v>
      </c>
      <c r="AI28" s="46" t="s">
        <v>74</v>
      </c>
      <c r="AJ28" s="3" t="str">
        <f>"MS228-04529GLP"</f>
        <v>MS228-04529GLP</v>
      </c>
      <c r="AK28" s="3" t="str">
        <f>"MS SQLSVRSTD SNGL SA MVL"</f>
        <v>MS SQLSVRSTD SNGL SA MVL</v>
      </c>
      <c r="AL28" s="18" t="s">
        <v>583</v>
      </c>
      <c r="AM28" s="18" t="s">
        <v>581</v>
      </c>
      <c r="AN28" s="18" t="s">
        <v>584</v>
      </c>
      <c r="AO28" s="49" t="s">
        <v>587</v>
      </c>
    </row>
    <row r="29" spans="1:41" ht="45">
      <c r="A29" s="1" t="s">
        <v>173</v>
      </c>
      <c r="B29" s="1" t="str">
        <f t="shared" si="7"/>
        <v>Show</v>
      </c>
      <c r="C29" s="4" t="s">
        <v>43</v>
      </c>
      <c r="E29" s="11" t="str">
        <f>"""UICACS"","""",""SQL="",""2=DOCNUM"",""33033168"",""14=CUSTREF"",""4203173052"",""14=U_CUSTREF"",""4203173052"",""15=DOCDATE"",""7/11/2023"",""15=TAXDATE"",""7/11/2023"",""14=CARDCODE"",""CI1261-SGD"",""14=CARDNAME"",""CHANGI GENERAL HOSPITAL PTE LTD"",""14=ITEMCODE"",""MS7JQ-00355GLP"",""14="&amp;"ITEMNAME"",""MS SQLSVRENTCORE SNGL SA MVL 2LIC CORELIC"",""10=QUANTITY"",""8.000000"",""14=U_PONO"",""946576"",""15=U_PODATE"",""14/10/2023"",""10=U_TLINTCOS"",""0.000000"",""2=SLPCODE"",""132"",""14=SLPNAME"",""E0001-CS"",""14=MEMO"",""WENDY KUM CHIOU SZE"",""14=CONTACTNAME"",""E-INVOICE"&amp;""",""10=LINETOTAL"",""81814.560000"",""14=U_ENR"","""",""14=U_MSENR"",""S7138270"",""14=U_MSPCN"",""83288253"",""14=ADDRESS2"",""JOCELYN TAN SU YI_x000D_CHANGI GENERAL HOSPITAL 2 SIMEI STREET 3  SINGAPORE 529889_x000D_JOCELYN TAN SU YI_x000D_TEL: 83882343_x000D_FAX: _x000D_EMAIL: JOCELYN.TAN2@synapxe.sg"""</f>
        <v>"UICACS","","SQL=","2=DOCNUM","33033168","14=CUSTREF","4203173052","14=U_CUSTREF","4203173052","15=DOCDATE","7/11/2023","15=TAXDATE","7/11/2023","14=CARDCODE","CI1261-SGD","14=CARDNAME","CHANGI GENERAL HOSPITAL PTE LTD","14=ITEMCODE","MS7JQ-00355GLP","14=ITEMNAME","MS SQLSVRENTCORE SNGL SA MVL 2LIC CORELIC","10=QUANTITY","8.000000","14=U_PONO","946576","15=U_PODATE","14/10/2023","10=U_TLINTCOS","0.000000","2=SLPCODE","132","14=SLPNAME","E0001-CS","14=MEMO","WENDY KUM CHIOU SZE","14=CONTACTNAME","E-INVOICE","10=LINETOTAL","81814.560000","14=U_ENR","","14=U_MSENR","S7138270","14=U_MSPCN","83288253","14=ADDRESS2","JOCELYN TAN SU YI_x000D_CHANGI GENERAL HOSPITAL 2 SIMEI STREET 3  SINGAPORE 529889_x000D_JOCELYN TAN SU YI_x000D_TEL: 83882343_x000D_FAX: _x000D_EMAIL: JOCELYN.TAN2@synapxe.sg"</v>
      </c>
      <c r="K29" s="18">
        <f t="shared" si="0"/>
        <v>11</v>
      </c>
      <c r="L29" s="18">
        <f t="shared" si="1"/>
        <v>2023</v>
      </c>
      <c r="M29" s="4">
        <v>33033168</v>
      </c>
      <c r="N29" s="40">
        <v>45237</v>
      </c>
      <c r="O29" s="18" t="str">
        <f t="shared" si="2"/>
        <v>S7138270</v>
      </c>
      <c r="P29" s="18" t="str">
        <f>"83288253"</f>
        <v>83288253</v>
      </c>
      <c r="Q29" s="18"/>
      <c r="R29" s="18" t="str">
        <f>"CI1261-SGD"</f>
        <v>CI1261-SGD</v>
      </c>
      <c r="S29" s="4" t="str">
        <f>"CHANGI GENERAL HOSPITAL PTE LTD"</f>
        <v>CHANGI GENERAL HOSPITAL PTE LTD</v>
      </c>
      <c r="T29" s="18" t="str">
        <f>"4203173052"</f>
        <v>4203173052</v>
      </c>
      <c r="U29" s="40">
        <v>45213</v>
      </c>
      <c r="V29" s="40">
        <v>45237</v>
      </c>
      <c r="W29" s="41">
        <f t="shared" si="3"/>
        <v>24</v>
      </c>
      <c r="X29" s="42" t="str">
        <f>"MS7JQ-00355GLP"</f>
        <v>MS7JQ-00355GLP</v>
      </c>
      <c r="Y29" s="42" t="str">
        <f>"MS SQLSVRENTCORE SNGL SA MVL 2LIC CORELIC"</f>
        <v>MS SQLSVRENTCORE SNGL SA MVL 2LIC CORELIC</v>
      </c>
      <c r="Z29" s="42" t="str">
        <f t="shared" si="4"/>
        <v>WENDY KUM CHIOU SZE</v>
      </c>
      <c r="AA29" s="41">
        <v>8</v>
      </c>
      <c r="AB29" s="43">
        <f t="shared" si="5"/>
        <v>10226.82</v>
      </c>
      <c r="AC29" s="29">
        <v>81814.559999999998</v>
      </c>
      <c r="AD29" s="18" t="str">
        <f t="shared" si="6"/>
        <v>-</v>
      </c>
      <c r="AE29" s="44">
        <v>81814.559999999998</v>
      </c>
      <c r="AF29" s="28" t="s">
        <v>72</v>
      </c>
      <c r="AG29" s="45" t="str">
        <f>"JOCELYN TAN SU YI_x000D_CHANGI GENERAL HOSPITAL 2 SIMEI STREET 3  SINGAPORE 529889_x000D_JOCELYN TAN SU YI_x000D_TEL: 83882343_x000D_FAX: _x000D_EMAIL: JOCELYN.TAN2@synapxe.sg"</f>
        <v>JOCELYN TAN SU YI_x000D_CHANGI GENERAL HOSPITAL 2 SIMEI STREET 3  SINGAPORE 529889_x000D_JOCELYN TAN SU YI_x000D_TEL: 83882343_x000D_FAX: _x000D_EMAIL: JOCELYN.TAN2@synapxe.sg</v>
      </c>
      <c r="AH29" s="46" t="s">
        <v>73</v>
      </c>
      <c r="AI29" s="46" t="s">
        <v>74</v>
      </c>
      <c r="AJ29" s="3" t="str">
        <f>"MS7JQ-00355GLP"</f>
        <v>MS7JQ-00355GLP</v>
      </c>
      <c r="AK29" s="3" t="str">
        <f>"MS SQLSVRENTCORE SNGL SA MVL 2LIC CORELIC"</f>
        <v>MS SQLSVRENTCORE SNGL SA MVL 2LIC CORELIC</v>
      </c>
      <c r="AL29" s="18" t="s">
        <v>583</v>
      </c>
      <c r="AM29" s="18" t="s">
        <v>581</v>
      </c>
      <c r="AN29" s="18" t="s">
        <v>584</v>
      </c>
      <c r="AO29" s="49" t="s">
        <v>587</v>
      </c>
    </row>
    <row r="30" spans="1:41">
      <c r="A30" s="1" t="s">
        <v>173</v>
      </c>
      <c r="B30" s="1" t="str">
        <f t="shared" si="7"/>
        <v>Show</v>
      </c>
      <c r="C30" s="4" t="s">
        <v>43</v>
      </c>
      <c r="E30" s="11" t="str">
        <f>"""UICACS"","""",""SQL="",""2=DOCNUM"",""33033210"",""14=CUSTREF"",""PO23000159"",""14=U_CUSTREF"",""PO23000159"",""15=DOCDATE"",""10/11/2023"",""15=TAXDATE"",""10/11/2023"",""14=CARDCODE"",""CS0276-SGD"",""14=CARDNAME"",""SINGAPORE CORD BLOOD BANK LIMITED"",""14=ITEMCODE"",""MS359-07102GLP"","&amp;"""14=ITEMNAME"",""MS SQL CAL 2022 SLNG USER CAL"",""10=QUANTITY"",""1.000000"",""14=U_PONO"",""946863"",""15=U_PODATE"",""8/11/2023"",""10=U_TLINTCOS"",""0.000000"",""2=SLPCODE"",""132"",""14=SLPNAME"",""E0001-CS"",""14=MEMO"",""WENDY KUM CHIOU SZE"",""14=CONTACTNAME"",""FSS- ACCOUNTS PAYA"&amp;"BLE"",""10=LINETOTAL"",""210.800000"",""14=U_ENR"","""",""14=U_MSENR"",""S7138270"",""14=U_MSPCN"",""8251F2D8"",""14=ADDRESS2"",""BRENNAN LIM_x000D_SINGAPORE CORD BLOOD BANK LIMITED 37 JALAN PEMIMPIN, #04-14 MAPEX SINGAPORE 577177_x000D_BRENNAN LIM_x000D_TEL: _x000D_FAX: _x000D_EMAIL: brennan.lim@synapxe"&amp;".sg"""</f>
        <v>"UICACS","","SQL=","2=DOCNUM","33033210","14=CUSTREF","PO23000159","14=U_CUSTREF","PO23000159","15=DOCDATE","10/11/2023","15=TAXDATE","10/11/2023","14=CARDCODE","CS0276-SGD","14=CARDNAME","SINGAPORE CORD BLOOD BANK LIMITED","14=ITEMCODE","MS359-07102GLP","14=ITEMNAME","MS SQL CAL 2022 SLNG USER CAL","10=QUANTITY","1.000000","14=U_PONO","946863","15=U_PODATE","8/11/2023","10=U_TLINTCOS","0.000000","2=SLPCODE","132","14=SLPNAME","E0001-CS","14=MEMO","WENDY KUM CHIOU SZE","14=CONTACTNAME","FSS- ACCOUNTS PAYABLE","10=LINETOTAL","210.800000","14=U_ENR","","14=U_MSENR","S7138270","14=U_MSPCN","8251F2D8","14=ADDRESS2","BRENNAN LIM_x000D_SINGAPORE CORD BLOOD BANK LIMITED 37 JALAN PEMIMPIN, #04-14 MAPEX SINGAPORE 577177_x000D_BRENNAN LIM_x000D_TEL: _x000D_FAX: _x000D_EMAIL: brennan.lim@synapxe.sg"</v>
      </c>
      <c r="K30" s="18">
        <f t="shared" si="0"/>
        <v>11</v>
      </c>
      <c r="L30" s="18">
        <f t="shared" si="1"/>
        <v>2023</v>
      </c>
      <c r="M30" s="4">
        <v>33033210</v>
      </c>
      <c r="N30" s="40">
        <v>45240</v>
      </c>
      <c r="O30" s="18" t="str">
        <f t="shared" si="2"/>
        <v>S7138270</v>
      </c>
      <c r="P30" s="18" t="str">
        <f>"8251F2D8"</f>
        <v>8251F2D8</v>
      </c>
      <c r="Q30" s="18"/>
      <c r="R30" s="18" t="str">
        <f>"CS0276-SGD"</f>
        <v>CS0276-SGD</v>
      </c>
      <c r="S30" s="4" t="str">
        <f>"SINGAPORE CORD BLOOD BANK LIMITED"</f>
        <v>SINGAPORE CORD BLOOD BANK LIMITED</v>
      </c>
      <c r="T30" s="18" t="str">
        <f>"PO23000159"</f>
        <v>PO23000159</v>
      </c>
      <c r="U30" s="40">
        <v>45238</v>
      </c>
      <c r="V30" s="40">
        <v>45240</v>
      </c>
      <c r="W30" s="41">
        <f t="shared" si="3"/>
        <v>2</v>
      </c>
      <c r="X30" s="42" t="str">
        <f>"MS359-07102GLP"</f>
        <v>MS359-07102GLP</v>
      </c>
      <c r="Y30" s="42" t="str">
        <f>"MS SQL CAL 2022 SLNG USER CAL"</f>
        <v>MS SQL CAL 2022 SLNG USER CAL</v>
      </c>
      <c r="Z30" s="42" t="str">
        <f t="shared" si="4"/>
        <v>WENDY KUM CHIOU SZE</v>
      </c>
      <c r="AA30" s="41">
        <v>1</v>
      </c>
      <c r="AB30" s="43">
        <f t="shared" si="5"/>
        <v>210.8</v>
      </c>
      <c r="AC30" s="29">
        <v>210.8</v>
      </c>
      <c r="AD30" s="18" t="str">
        <f t="shared" si="6"/>
        <v>-</v>
      </c>
      <c r="AE30" s="44">
        <v>210.8</v>
      </c>
      <c r="AF30" s="28" t="s">
        <v>72</v>
      </c>
      <c r="AG30" s="45" t="str">
        <f>"BRENNAN LIM_x000D_SINGAPORE CORD BLOOD BANK LIMITED 37 JALAN PEMIMPIN, #04-14 MAPEX SINGAPORE 577177_x000D_BRENNAN LIM_x000D_TEL: _x000D_FAX: _x000D_EMAIL: brennan.lim@synapxe.sg"</f>
        <v>BRENNAN LIM_x000D_SINGAPORE CORD BLOOD BANK LIMITED 37 JALAN PEMIMPIN, #04-14 MAPEX SINGAPORE 577177_x000D_BRENNAN LIM_x000D_TEL: _x000D_FAX: _x000D_EMAIL: brennan.lim@synapxe.sg</v>
      </c>
      <c r="AH30" s="46" t="s">
        <v>73</v>
      </c>
      <c r="AI30" s="46" t="s">
        <v>74</v>
      </c>
      <c r="AJ30" s="3" t="str">
        <f>"MS359-07102GLP"</f>
        <v>MS359-07102GLP</v>
      </c>
      <c r="AK30" s="3" t="str">
        <f>"MS SQL CAL 2022 SLNG USER CAL"</f>
        <v>MS SQL CAL 2022 SLNG USER CAL</v>
      </c>
      <c r="AL30" s="18" t="s">
        <v>591</v>
      </c>
      <c r="AM30" s="18" t="s">
        <v>591</v>
      </c>
      <c r="AN30" s="18" t="s">
        <v>591</v>
      </c>
      <c r="AO30" s="18" t="s">
        <v>591</v>
      </c>
    </row>
    <row r="31" spans="1:41">
      <c r="A31" s="1" t="s">
        <v>173</v>
      </c>
      <c r="B31" s="1" t="str">
        <f t="shared" si="7"/>
        <v>Show</v>
      </c>
      <c r="C31" s="4" t="s">
        <v>43</v>
      </c>
      <c r="E31" s="11" t="str">
        <f>"""UICACS"","""",""SQL="",""2=DOCNUM"",""33033210"",""14=CUSTREF"",""PO23000159"",""14=U_CUSTREF"",""PO23000159"",""15=DOCDATE"",""10/11/2023"",""15=TAXDATE"",""10/11/2023"",""14=CARDCODE"",""CS0276-SGD"",""14=CARDNAME"",""SINGAPORE CORD BLOOD BANK LIMITED"",""14=ITEMCODE"",""MS228-11680GLP"","&amp;"""14=ITEMNAME"",""MS SQL SERVER STANDARD 2022 SLNG"",""10=QUANTITY"",""1.000000"",""14=U_PONO"",""946863"",""15=U_PODATE"",""8/11/2023"",""10=U_TLINTCOS"",""0.000000"",""2=SLPCODE"",""132"",""14=SLPNAME"",""E0001-CS"",""14=MEMO"",""WENDY KUM CHIOU SZE"",""14=CONTACTNAME"",""FSS- ACCOUNTS P"&amp;"AYABLE"",""10=LINETOTAL"",""907.970000"",""14=U_ENR"","""",""14=U_MSENR"",""S7138270"",""14=U_MSPCN"",""8251F2D8"",""14=ADDRESS2"",""BRENNAN LIM_x000D_SINGAPORE CORD BLOOD BANK LIMITED 37 JALAN PEMIMPIN, #04-14 MAPEX SINGAPORE 577177_x000D_BRENNAN LIM_x000D_TEL: _x000D_FAX: _x000D_EMAIL: brennan.lim@syna"&amp;"pxe.sg"""</f>
        <v>"UICACS","","SQL=","2=DOCNUM","33033210","14=CUSTREF","PO23000159","14=U_CUSTREF","PO23000159","15=DOCDATE","10/11/2023","15=TAXDATE","10/11/2023","14=CARDCODE","CS0276-SGD","14=CARDNAME","SINGAPORE CORD BLOOD BANK LIMITED","14=ITEMCODE","MS228-11680GLP","14=ITEMNAME","MS SQL SERVER STANDARD 2022 SLNG","10=QUANTITY","1.000000","14=U_PONO","946863","15=U_PODATE","8/11/2023","10=U_TLINTCOS","0.000000","2=SLPCODE","132","14=SLPNAME","E0001-CS","14=MEMO","WENDY KUM CHIOU SZE","14=CONTACTNAME","FSS- ACCOUNTS PAYABLE","10=LINETOTAL","907.970000","14=U_ENR","","14=U_MSENR","S7138270","14=U_MSPCN","8251F2D8","14=ADDRESS2","BRENNAN LIM_x000D_SINGAPORE CORD BLOOD BANK LIMITED 37 JALAN PEMIMPIN, #04-14 MAPEX SINGAPORE 577177_x000D_BRENNAN LIM_x000D_TEL: _x000D_FAX: _x000D_EMAIL: brennan.lim@synapxe.sg"</v>
      </c>
      <c r="K31" s="18">
        <f t="shared" si="0"/>
        <v>11</v>
      </c>
      <c r="L31" s="18">
        <f t="shared" si="1"/>
        <v>2023</v>
      </c>
      <c r="M31" s="4">
        <v>33033210</v>
      </c>
      <c r="N31" s="40">
        <v>45240</v>
      </c>
      <c r="O31" s="18" t="str">
        <f t="shared" si="2"/>
        <v>S7138270</v>
      </c>
      <c r="P31" s="18" t="str">
        <f>"8251F2D8"</f>
        <v>8251F2D8</v>
      </c>
      <c r="Q31" s="18"/>
      <c r="R31" s="18" t="str">
        <f>"CS0276-SGD"</f>
        <v>CS0276-SGD</v>
      </c>
      <c r="S31" s="4" t="str">
        <f>"SINGAPORE CORD BLOOD BANK LIMITED"</f>
        <v>SINGAPORE CORD BLOOD BANK LIMITED</v>
      </c>
      <c r="T31" s="18" t="str">
        <f>"PO23000159"</f>
        <v>PO23000159</v>
      </c>
      <c r="U31" s="40">
        <v>45238</v>
      </c>
      <c r="V31" s="40">
        <v>45240</v>
      </c>
      <c r="W31" s="41">
        <f t="shared" si="3"/>
        <v>2</v>
      </c>
      <c r="X31" s="42" t="str">
        <f>"MS228-11680GLP"</f>
        <v>MS228-11680GLP</v>
      </c>
      <c r="Y31" s="42" t="str">
        <f>"MS SQL SERVER STANDARD 2022 SLNG"</f>
        <v>MS SQL SERVER STANDARD 2022 SLNG</v>
      </c>
      <c r="Z31" s="42" t="str">
        <f t="shared" si="4"/>
        <v>WENDY KUM CHIOU SZE</v>
      </c>
      <c r="AA31" s="41">
        <v>1</v>
      </c>
      <c r="AB31" s="43">
        <f t="shared" si="5"/>
        <v>907.97</v>
      </c>
      <c r="AC31" s="29">
        <v>907.97</v>
      </c>
      <c r="AD31" s="18" t="str">
        <f t="shared" si="6"/>
        <v>-</v>
      </c>
      <c r="AE31" s="44">
        <v>907.97</v>
      </c>
      <c r="AF31" s="28" t="s">
        <v>72</v>
      </c>
      <c r="AG31" s="45" t="str">
        <f>"BRENNAN LIM_x000D_SINGAPORE CORD BLOOD BANK LIMITED 37 JALAN PEMIMPIN, #04-14 MAPEX SINGAPORE 577177_x000D_BRENNAN LIM_x000D_TEL: _x000D_FAX: _x000D_EMAIL: brennan.lim@synapxe.sg"</f>
        <v>BRENNAN LIM_x000D_SINGAPORE CORD BLOOD BANK LIMITED 37 JALAN PEMIMPIN, #04-14 MAPEX SINGAPORE 577177_x000D_BRENNAN LIM_x000D_TEL: _x000D_FAX: _x000D_EMAIL: brennan.lim@synapxe.sg</v>
      </c>
      <c r="AH31" s="46" t="s">
        <v>73</v>
      </c>
      <c r="AI31" s="46" t="s">
        <v>74</v>
      </c>
      <c r="AJ31" s="3" t="str">
        <f>"MS228-11680GLP"</f>
        <v>MS228-11680GLP</v>
      </c>
      <c r="AK31" s="3" t="str">
        <f>"MS SQL SERVER STANDARD 2022 SLNG"</f>
        <v>MS SQL SERVER STANDARD 2022 SLNG</v>
      </c>
      <c r="AL31" s="18" t="s">
        <v>591</v>
      </c>
      <c r="AM31" s="18" t="s">
        <v>591</v>
      </c>
      <c r="AN31" s="18" t="s">
        <v>591</v>
      </c>
      <c r="AO31" s="18" t="s">
        <v>591</v>
      </c>
    </row>
    <row r="32" spans="1:41">
      <c r="A32" s="1" t="s">
        <v>173</v>
      </c>
      <c r="B32" s="1" t="str">
        <f t="shared" si="7"/>
        <v>Show</v>
      </c>
      <c r="C32" s="4" t="s">
        <v>43</v>
      </c>
      <c r="E32" s="11" t="str">
        <f>"""UICACS"","""",""SQL="",""2=DOCNUM"",""33033298"",""14=CUSTREF"",""9410255696"",""14=U_CUSTREF"",""9410255696"",""15=DOCDATE"",""23/11/2023"",""15=TAXDATE"",""23/11/2023"",""14=CARDCODE"",""CI1077-SGD"",""14=CARDNAME"",""KK WOMEN'S AND CHILDREN'S HOSPITAL"",""14=ITEMCODE"",""MS7JQ-00355GLP"""&amp;",""14=ITEMNAME"",""MS SQLSVRENTCORE SNGL SA MVL 2LIC CORELIC"",""10=QUANTITY"",""4.000000"",""14=U_PONO"",""947151/A/B"",""15=U_PODATE"",""22/11/2023"",""10=U_TLINTCOS"",""0.000000"",""2=SLPCODE"",""132"",""14=SLPNAME"",""E0001-CS"",""14=MEMO"",""WENDY KUM CHIOU SZE"",""14=CONTACTNAME"","""&amp;"FINANCE DEPARTMENT"",""10=LINETOTAL"",""29544.120000"",""14=U_ENR"","""",""14=U_MSENR"",""S7138270"",""14=U_MSPCN"",""B1EFBA40"",""14=ADDRESS2"",""LEE JIA HAO_x000D_KK WOMEN'S AND CHILDREN'S HOSPITAL PTE LTD 100 BUKIT TIMAH ROAD  SINGAPORE 229899_x000D_LEE JIA HAO_x000D_TEL: 83218658_x000D_FAX: _x000D_EM"&amp;"AIL: lee.jia.hao1@synapxe.sg"""</f>
        <v>"UICACS","","SQL=","2=DOCNUM","33033298","14=CUSTREF","9410255696","14=U_CUSTREF","9410255696","15=DOCDATE","23/11/2023","15=TAXDATE","23/11/2023","14=CARDCODE","CI1077-SGD","14=CARDNAME","KK WOMEN'S AND CHILDREN'S HOSPITAL","14=ITEMCODE","MS7JQ-00355GLP","14=ITEMNAME","MS SQLSVRENTCORE SNGL SA MVL 2LIC CORELIC","10=QUANTITY","4.000000","14=U_PONO","947151/A/B","15=U_PODATE","22/11/2023","10=U_TLINTCOS","0.000000","2=SLPCODE","132","14=SLPNAME","E0001-CS","14=MEMO","WENDY KUM CHIOU SZE","14=CONTACTNAME","FINANCE DEPARTMENT","10=LINETOTAL","29544.120000","14=U_ENR","","14=U_MSENR","S7138270","14=U_MSPCN","B1EFBA40","14=ADDRESS2","LEE JIA HAO_x000D_KK WOMEN'S AND CHILDREN'S HOSPITAL PTE LTD 100 BUKIT TIMAH ROAD  SINGAPORE 229899_x000D_LEE JIA HAO_x000D_TEL: 83218658_x000D_FAX: _x000D_EMAIL: lee.jia.hao1@synapxe.sg"</v>
      </c>
      <c r="K32" s="18">
        <f t="shared" si="0"/>
        <v>11</v>
      </c>
      <c r="L32" s="18">
        <f t="shared" si="1"/>
        <v>2023</v>
      </c>
      <c r="M32" s="4">
        <v>33033298</v>
      </c>
      <c r="N32" s="40">
        <v>45253</v>
      </c>
      <c r="O32" s="18" t="str">
        <f t="shared" si="2"/>
        <v>S7138270</v>
      </c>
      <c r="P32" s="18" t="str">
        <f>"B1EFBA40"</f>
        <v>B1EFBA40</v>
      </c>
      <c r="Q32" s="18"/>
      <c r="R32" s="18" t="str">
        <f>"CI1077-SGD"</f>
        <v>CI1077-SGD</v>
      </c>
      <c r="S32" s="4" t="str">
        <f>"KK WOMEN'S AND CHILDREN'S HOSPITAL"</f>
        <v>KK WOMEN'S AND CHILDREN'S HOSPITAL</v>
      </c>
      <c r="T32" s="18" t="str">
        <f>"9410255696"</f>
        <v>9410255696</v>
      </c>
      <c r="U32" s="40">
        <v>45252</v>
      </c>
      <c r="V32" s="40">
        <v>45253</v>
      </c>
      <c r="W32" s="41">
        <f t="shared" si="3"/>
        <v>1</v>
      </c>
      <c r="X32" s="42" t="str">
        <f>"MS7JQ-00355GLP"</f>
        <v>MS7JQ-00355GLP</v>
      </c>
      <c r="Y32" s="42" t="str">
        <f>"MS SQLSVRENTCORE SNGL SA MVL 2LIC CORELIC"</f>
        <v>MS SQLSVRENTCORE SNGL SA MVL 2LIC CORELIC</v>
      </c>
      <c r="Z32" s="42" t="str">
        <f t="shared" si="4"/>
        <v>WENDY KUM CHIOU SZE</v>
      </c>
      <c r="AA32" s="41">
        <v>4</v>
      </c>
      <c r="AB32" s="43">
        <f t="shared" si="5"/>
        <v>7386.03</v>
      </c>
      <c r="AC32" s="29">
        <v>29544.12</v>
      </c>
      <c r="AD32" s="18" t="str">
        <f t="shared" si="6"/>
        <v>-</v>
      </c>
      <c r="AE32" s="44">
        <v>29544.12</v>
      </c>
      <c r="AF32" s="28" t="s">
        <v>72</v>
      </c>
      <c r="AG32" s="45" t="str">
        <f>"LEE JIA HAO_x000D_KK WOMEN'S AND CHILDREN'S HOSPITAL PTE LTD 100 BUKIT TIMAH ROAD  SINGAPORE 229899_x000D_LEE JIA HAO_x000D_TEL: 83218658_x000D_FAX: _x000D_EMAIL: lee.jia.hao1@synapxe.sg"</f>
        <v>LEE JIA HAO_x000D_KK WOMEN'S AND CHILDREN'S HOSPITAL PTE LTD 100 BUKIT TIMAH ROAD  SINGAPORE 229899_x000D_LEE JIA HAO_x000D_TEL: 83218658_x000D_FAX: _x000D_EMAIL: lee.jia.hao1@synapxe.sg</v>
      </c>
      <c r="AH32" s="46" t="s">
        <v>73</v>
      </c>
      <c r="AI32" s="46" t="s">
        <v>74</v>
      </c>
      <c r="AJ32" s="3" t="str">
        <f>"MS7JQ-00355GLP"</f>
        <v>MS7JQ-00355GLP</v>
      </c>
      <c r="AK32" s="3" t="str">
        <f>"MS SQLSVRENTCORE SNGL SA MVL 2LIC CORELIC"</f>
        <v>MS SQLSVRENTCORE SNGL SA MVL 2LIC CORELIC</v>
      </c>
      <c r="AL32" s="18" t="s">
        <v>583</v>
      </c>
      <c r="AM32" s="18" t="s">
        <v>589</v>
      </c>
      <c r="AN32" s="18" t="s">
        <v>588</v>
      </c>
      <c r="AO32" s="18" t="s">
        <v>591</v>
      </c>
    </row>
    <row r="33" spans="1:44">
      <c r="A33" s="1" t="s">
        <v>173</v>
      </c>
      <c r="B33" s="1" t="str">
        <f t="shared" si="7"/>
        <v>Show</v>
      </c>
      <c r="C33" s="4" t="s">
        <v>43</v>
      </c>
      <c r="E33" s="11" t="str">
        <f>"""UICACS"","""",""SQL="",""2=DOCNUM"",""33033298"",""14=CUSTREF"",""9410255696"",""14=U_CUSTREF"",""9410255696"",""15=DOCDATE"",""23/11/2023"",""15=TAXDATE"",""23/11/2023"",""14=CARDCODE"",""CI1077-SGD"",""14=CARDNAME"",""KK WOMEN'S AND CHILDREN'S HOSPITAL"",""14=ITEMCODE"",""MS7JQ-00355GLP"""&amp;",""14=ITEMNAME"",""MS SQLSVRENTCORE SNGL SA MVL 2LIC CORELIC"",""10=QUANTITY"",""2.000000"",""14=U_PONO"",""947151/A/B"",""15=U_PODATE"",""22/11/2023"",""10=U_TLINTCOS"",""0.000000"",""2=SLPCODE"",""132"",""14=SLPNAME"",""E0001-CS"",""14=MEMO"",""WENDY KUM CHIOU SZE"",""14=CONTACTNAME"","""&amp;"FINANCE DEPARTMENT"",""10=LINETOTAL"",""14203.920000"",""14=U_ENR"","""",""14=U_MSENR"",""S7138270"",""14=U_MSPCN"",""B1EFBA40"",""14=ADDRESS2"",""LEE JIA HAO_x000D_KK WOMEN'S AND CHILDREN'S HOSPITAL PTE LTD 100 BUKIT TIMAH ROAD  SINGAPORE 229899_x000D_LEE JIA HAO_x000D_TEL: 83218658_x000D_FAX: _x000D_EM"&amp;"AIL: lee.jia.hao1@synapxe.sg"""</f>
        <v>"UICACS","","SQL=","2=DOCNUM","33033298","14=CUSTREF","9410255696","14=U_CUSTREF","9410255696","15=DOCDATE","23/11/2023","15=TAXDATE","23/11/2023","14=CARDCODE","CI1077-SGD","14=CARDNAME","KK WOMEN'S AND CHILDREN'S HOSPITAL","14=ITEMCODE","MS7JQ-00355GLP","14=ITEMNAME","MS SQLSVRENTCORE SNGL SA MVL 2LIC CORELIC","10=QUANTITY","2.000000","14=U_PONO","947151/A/B","15=U_PODATE","22/11/2023","10=U_TLINTCOS","0.000000","2=SLPCODE","132","14=SLPNAME","E0001-CS","14=MEMO","WENDY KUM CHIOU SZE","14=CONTACTNAME","FINANCE DEPARTMENT","10=LINETOTAL","14203.920000","14=U_ENR","","14=U_MSENR","S7138270","14=U_MSPCN","B1EFBA40","14=ADDRESS2","LEE JIA HAO_x000D_KK WOMEN'S AND CHILDREN'S HOSPITAL PTE LTD 100 BUKIT TIMAH ROAD  SINGAPORE 229899_x000D_LEE JIA HAO_x000D_TEL: 83218658_x000D_FAX: _x000D_EMAIL: lee.jia.hao1@synapxe.sg"</v>
      </c>
      <c r="K33" s="18">
        <f t="shared" si="0"/>
        <v>11</v>
      </c>
      <c r="L33" s="18">
        <f t="shared" si="1"/>
        <v>2023</v>
      </c>
      <c r="M33" s="4">
        <v>33033298</v>
      </c>
      <c r="N33" s="40">
        <v>45253</v>
      </c>
      <c r="O33" s="18" t="str">
        <f t="shared" si="2"/>
        <v>S7138270</v>
      </c>
      <c r="P33" s="18" t="str">
        <f>"B1EFBA40"</f>
        <v>B1EFBA40</v>
      </c>
      <c r="Q33" s="18"/>
      <c r="R33" s="18" t="str">
        <f>"CI1077-SGD"</f>
        <v>CI1077-SGD</v>
      </c>
      <c r="S33" s="4" t="str">
        <f>"KK WOMEN'S AND CHILDREN'S HOSPITAL"</f>
        <v>KK WOMEN'S AND CHILDREN'S HOSPITAL</v>
      </c>
      <c r="T33" s="18" t="str">
        <f>"9410255696"</f>
        <v>9410255696</v>
      </c>
      <c r="U33" s="40">
        <v>45252</v>
      </c>
      <c r="V33" s="40">
        <v>45253</v>
      </c>
      <c r="W33" s="41">
        <f t="shared" si="3"/>
        <v>1</v>
      </c>
      <c r="X33" s="42" t="str">
        <f>"MS7JQ-00355GLP"</f>
        <v>MS7JQ-00355GLP</v>
      </c>
      <c r="Y33" s="42" t="str">
        <f>"MS SQLSVRENTCORE SNGL SA MVL 2LIC CORELIC"</f>
        <v>MS SQLSVRENTCORE SNGL SA MVL 2LIC CORELIC</v>
      </c>
      <c r="Z33" s="42" t="str">
        <f t="shared" si="4"/>
        <v>WENDY KUM CHIOU SZE</v>
      </c>
      <c r="AA33" s="41">
        <v>2</v>
      </c>
      <c r="AB33" s="43">
        <f t="shared" si="5"/>
        <v>7101.96</v>
      </c>
      <c r="AC33" s="29">
        <v>14203.92</v>
      </c>
      <c r="AD33" s="18" t="str">
        <f t="shared" si="6"/>
        <v>-</v>
      </c>
      <c r="AE33" s="44">
        <v>14203.92</v>
      </c>
      <c r="AF33" s="28" t="s">
        <v>72</v>
      </c>
      <c r="AG33" s="45" t="str">
        <f>"LEE JIA HAO_x000D_KK WOMEN'S AND CHILDREN'S HOSPITAL PTE LTD 100 BUKIT TIMAH ROAD  SINGAPORE 229899_x000D_LEE JIA HAO_x000D_TEL: 83218658_x000D_FAX: _x000D_EMAIL: lee.jia.hao1@synapxe.sg"</f>
        <v>LEE JIA HAO_x000D_KK WOMEN'S AND CHILDREN'S HOSPITAL PTE LTD 100 BUKIT TIMAH ROAD  SINGAPORE 229899_x000D_LEE JIA HAO_x000D_TEL: 83218658_x000D_FAX: _x000D_EMAIL: lee.jia.hao1@synapxe.sg</v>
      </c>
      <c r="AH33" s="46" t="s">
        <v>73</v>
      </c>
      <c r="AI33" s="46" t="s">
        <v>74</v>
      </c>
      <c r="AJ33" s="3" t="str">
        <f>"MS7JQ-00355GLP"</f>
        <v>MS7JQ-00355GLP</v>
      </c>
      <c r="AK33" s="3" t="str">
        <f>"MS SQLSVRENTCORE SNGL SA MVL 2LIC CORELIC"</f>
        <v>MS SQLSVRENTCORE SNGL SA MVL 2LIC CORELIC</v>
      </c>
      <c r="AL33" s="18" t="s">
        <v>583</v>
      </c>
      <c r="AM33" s="18" t="s">
        <v>581</v>
      </c>
      <c r="AN33" s="18" t="s">
        <v>588</v>
      </c>
      <c r="AO33" s="18" t="s">
        <v>591</v>
      </c>
    </row>
    <row r="34" spans="1:44">
      <c r="A34" s="1" t="s">
        <v>173</v>
      </c>
      <c r="B34" s="1" t="str">
        <f t="shared" si="7"/>
        <v>Show</v>
      </c>
      <c r="C34" s="4" t="s">
        <v>43</v>
      </c>
      <c r="E34" s="11" t="str">
        <f>"""UICACS"","""",""SQL="",""2=DOCNUM"",""33033298"",""14=CUSTREF"",""9410255696"",""14=U_CUSTREF"",""9410255696"",""15=DOCDATE"",""23/11/2023"",""15=TAXDATE"",""23/11/2023"",""14=CARDCODE"",""CI1077-SGD"",""14=CARDNAME"",""KK WOMEN'S AND CHILDREN'S HOSPITAL"",""14=ITEMCODE"",""MS7NQ-00301GLP"""&amp;",""14=ITEMNAME"",""MS SQLSVRSTDCORE SNGL SA MVL 2LIC CORELIC"",""10=QUANTITY"",""2.000000"",""14=U_PONO"",""947151/A/B"",""15=U_PODATE"",""22/11/2023"",""10=U_TLINTCOS"",""0.000000"",""2=SLPCODE"",""132"",""14=SLPNAME"",""E0001-CS"",""14=MEMO"",""WENDY KUM CHIOU SZE"",""14=CONTACTNAME"","""&amp;"FINANCE DEPARTMENT"",""10=LINETOTAL"",""4587.760000"",""14=U_ENR"","""",""14=U_MSENR"",""S7138270"",""14=U_MSPCN"",""B1EFBA40"",""14=ADDRESS2"",""LEE JIA HAO_x000D_KK WOMEN'S AND CHILDREN'S HOSPITAL PTE LTD 100 BUKIT TIMAH ROAD  SINGAPORE 229899_x000D_LEE JIA HAO_x000D_TEL: 83218658_x000D_FAX: _x000D_EMA"&amp;"IL: lee.jia.hao1@synapxe.sg"""</f>
        <v>"UICACS","","SQL=","2=DOCNUM","33033298","14=CUSTREF","9410255696","14=U_CUSTREF","9410255696","15=DOCDATE","23/11/2023","15=TAXDATE","23/11/2023","14=CARDCODE","CI1077-SGD","14=CARDNAME","KK WOMEN'S AND CHILDREN'S HOSPITAL","14=ITEMCODE","MS7NQ-00301GLP","14=ITEMNAME","MS SQLSVRSTDCORE SNGL SA MVL 2LIC CORELIC","10=QUANTITY","2.000000","14=U_PONO","947151/A/B","15=U_PODATE","22/11/2023","10=U_TLINTCOS","0.000000","2=SLPCODE","132","14=SLPNAME","E0001-CS","14=MEMO","WENDY KUM CHIOU SZE","14=CONTACTNAME","FINANCE DEPARTMENT","10=LINETOTAL","4587.760000","14=U_ENR","","14=U_MSENR","S7138270","14=U_MSPCN","B1EFBA40","14=ADDRESS2","LEE JIA HAO_x000D_KK WOMEN'S AND CHILDREN'S HOSPITAL PTE LTD 100 BUKIT TIMAH ROAD  SINGAPORE 229899_x000D_LEE JIA HAO_x000D_TEL: 83218658_x000D_FAX: _x000D_EMAIL: lee.jia.hao1@synapxe.sg"</v>
      </c>
      <c r="K34" s="18">
        <f t="shared" si="0"/>
        <v>11</v>
      </c>
      <c r="L34" s="18">
        <f t="shared" si="1"/>
        <v>2023</v>
      </c>
      <c r="M34" s="4">
        <v>33033298</v>
      </c>
      <c r="N34" s="40">
        <v>45253</v>
      </c>
      <c r="O34" s="18" t="str">
        <f t="shared" si="2"/>
        <v>S7138270</v>
      </c>
      <c r="P34" s="18" t="str">
        <f>"B1EFBA40"</f>
        <v>B1EFBA40</v>
      </c>
      <c r="Q34" s="18"/>
      <c r="R34" s="18" t="str">
        <f>"CI1077-SGD"</f>
        <v>CI1077-SGD</v>
      </c>
      <c r="S34" s="4" t="str">
        <f>"KK WOMEN'S AND CHILDREN'S HOSPITAL"</f>
        <v>KK WOMEN'S AND CHILDREN'S HOSPITAL</v>
      </c>
      <c r="T34" s="18" t="str">
        <f>"9410255696"</f>
        <v>9410255696</v>
      </c>
      <c r="U34" s="40">
        <v>45252</v>
      </c>
      <c r="V34" s="40">
        <v>45253</v>
      </c>
      <c r="W34" s="41">
        <f t="shared" si="3"/>
        <v>1</v>
      </c>
      <c r="X34" s="42" t="str">
        <f>"MS7NQ-00301GLP"</f>
        <v>MS7NQ-00301GLP</v>
      </c>
      <c r="Y34" s="42" t="str">
        <f>"MS SQLSVRSTDCORE SNGL SA MVL 2LIC CORELIC"</f>
        <v>MS SQLSVRSTDCORE SNGL SA MVL 2LIC CORELIC</v>
      </c>
      <c r="Z34" s="42" t="str">
        <f t="shared" si="4"/>
        <v>WENDY KUM CHIOU SZE</v>
      </c>
      <c r="AA34" s="41">
        <v>2</v>
      </c>
      <c r="AB34" s="43">
        <f t="shared" si="5"/>
        <v>2293.88</v>
      </c>
      <c r="AC34" s="29">
        <v>4587.76</v>
      </c>
      <c r="AD34" s="18" t="str">
        <f t="shared" si="6"/>
        <v>-</v>
      </c>
      <c r="AE34" s="44">
        <v>4587.76</v>
      </c>
      <c r="AF34" s="28" t="s">
        <v>72</v>
      </c>
      <c r="AG34" s="45" t="str">
        <f>"LEE JIA HAO_x000D_KK WOMEN'S AND CHILDREN'S HOSPITAL PTE LTD 100 BUKIT TIMAH ROAD  SINGAPORE 229899_x000D_LEE JIA HAO_x000D_TEL: 83218658_x000D_FAX: _x000D_EMAIL: lee.jia.hao1@synapxe.sg"</f>
        <v>LEE JIA HAO_x000D_KK WOMEN'S AND CHILDREN'S HOSPITAL PTE LTD 100 BUKIT TIMAH ROAD  SINGAPORE 229899_x000D_LEE JIA HAO_x000D_TEL: 83218658_x000D_FAX: _x000D_EMAIL: lee.jia.hao1@synapxe.sg</v>
      </c>
      <c r="AH34" s="46" t="s">
        <v>73</v>
      </c>
      <c r="AI34" s="46" t="s">
        <v>74</v>
      </c>
      <c r="AJ34" s="3" t="str">
        <f>"MS7NQ-00301GLP"</f>
        <v>MS7NQ-00301GLP</v>
      </c>
      <c r="AK34" s="3" t="str">
        <f>"MS SQLSVRSTDCORE SNGL SA MVL 2LIC CORELIC"</f>
        <v>MS SQLSVRSTDCORE SNGL SA MVL 2LIC CORELIC</v>
      </c>
      <c r="AL34" s="18" t="s">
        <v>583</v>
      </c>
      <c r="AM34" s="18" t="s">
        <v>590</v>
      </c>
      <c r="AN34" s="18" t="s">
        <v>588</v>
      </c>
      <c r="AO34" s="18" t="s">
        <v>591</v>
      </c>
    </row>
    <row r="35" spans="1:44">
      <c r="A35" s="1" t="s">
        <v>173</v>
      </c>
      <c r="B35" s="1" t="str">
        <f t="shared" si="7"/>
        <v>Show</v>
      </c>
      <c r="C35" s="4" t="s">
        <v>43</v>
      </c>
      <c r="E35" s="11" t="str">
        <f>"""UICACS"","""",""SQL="",""2=DOCNUM"",""33033298"",""14=CUSTREF"",""9410255696"",""14=U_CUSTREF"",""9410255696"",""15=DOCDATE"",""23/11/2023"",""15=TAXDATE"",""23/11/2023"",""14=CARDCODE"",""CI1077-SGD"",""14=CARDNAME"",""KK WOMEN'S AND CHILDREN'S HOSPITAL"",""14=ITEMCODE"",""MS7JQ-00355GLP"""&amp;",""14=ITEMNAME"",""MS SQLSVRENTCORE SNGL SA MVL 2LIC CORELIC"",""10=QUANTITY"",""5.000000"",""14=U_PONO"",""947151/A/B"",""15=U_PODATE"",""22/11/2023"",""10=U_TLINTCOS"",""0.000000"",""2=SLPCODE"",""132"",""14=SLPNAME"",""E0001-CS"",""14=MEMO"",""WENDY KUM CHIOU SZE"",""14=CONTACTNAME"","""&amp;"FINANCE DEPARTMENT"",""10=LINETOTAL"",""36930.150000"",""14=U_ENR"","""",""14=U_MSENR"",""S7138270"",""14=U_MSPCN"",""B1EFBA40"",""14=ADDRESS2"",""LEE JIA HAO_x000D_KK WOMEN'S AND CHILDREN'S HOSPITAL PTE LTD 100 BUKIT TIMAH ROAD  SINGAPORE 229899_x000D_LEE JIA HAO_x000D_TEL: 83218658_x000D_FAX: _x000D_EM"&amp;"AIL: lee.jia.hao1@synapxe.sg"""</f>
        <v>"UICACS","","SQL=","2=DOCNUM","33033298","14=CUSTREF","9410255696","14=U_CUSTREF","9410255696","15=DOCDATE","23/11/2023","15=TAXDATE","23/11/2023","14=CARDCODE","CI1077-SGD","14=CARDNAME","KK WOMEN'S AND CHILDREN'S HOSPITAL","14=ITEMCODE","MS7JQ-00355GLP","14=ITEMNAME","MS SQLSVRENTCORE SNGL SA MVL 2LIC CORELIC","10=QUANTITY","5.000000","14=U_PONO","947151/A/B","15=U_PODATE","22/11/2023","10=U_TLINTCOS","0.000000","2=SLPCODE","132","14=SLPNAME","E0001-CS","14=MEMO","WENDY KUM CHIOU SZE","14=CONTACTNAME","FINANCE DEPARTMENT","10=LINETOTAL","36930.150000","14=U_ENR","","14=U_MSENR","S7138270","14=U_MSPCN","B1EFBA40","14=ADDRESS2","LEE JIA HAO_x000D_KK WOMEN'S AND CHILDREN'S HOSPITAL PTE LTD 100 BUKIT TIMAH ROAD  SINGAPORE 229899_x000D_LEE JIA HAO_x000D_TEL: 83218658_x000D_FAX: _x000D_EMAIL: lee.jia.hao1@synapxe.sg"</v>
      </c>
      <c r="K35" s="18">
        <f t="shared" si="0"/>
        <v>11</v>
      </c>
      <c r="L35" s="18">
        <f t="shared" si="1"/>
        <v>2023</v>
      </c>
      <c r="M35" s="4">
        <v>33033298</v>
      </c>
      <c r="N35" s="40">
        <v>45253</v>
      </c>
      <c r="O35" s="18" t="str">
        <f t="shared" si="2"/>
        <v>S7138270</v>
      </c>
      <c r="P35" s="18" t="str">
        <f>"B1EFBA40"</f>
        <v>B1EFBA40</v>
      </c>
      <c r="Q35" s="18"/>
      <c r="R35" s="18" t="str">
        <f>"CI1077-SGD"</f>
        <v>CI1077-SGD</v>
      </c>
      <c r="S35" s="4" t="str">
        <f>"KK WOMEN'S AND CHILDREN'S HOSPITAL"</f>
        <v>KK WOMEN'S AND CHILDREN'S HOSPITAL</v>
      </c>
      <c r="T35" s="18" t="str">
        <f>"9410255696"</f>
        <v>9410255696</v>
      </c>
      <c r="U35" s="40">
        <v>45252</v>
      </c>
      <c r="V35" s="40">
        <v>45253</v>
      </c>
      <c r="W35" s="41">
        <f t="shared" si="3"/>
        <v>1</v>
      </c>
      <c r="X35" s="42" t="str">
        <f>"MS7JQ-00355GLP"</f>
        <v>MS7JQ-00355GLP</v>
      </c>
      <c r="Y35" s="42" t="str">
        <f>"MS SQLSVRENTCORE SNGL SA MVL 2LIC CORELIC"</f>
        <v>MS SQLSVRENTCORE SNGL SA MVL 2LIC CORELIC</v>
      </c>
      <c r="Z35" s="42" t="str">
        <f t="shared" si="4"/>
        <v>WENDY KUM CHIOU SZE</v>
      </c>
      <c r="AA35" s="41">
        <v>5</v>
      </c>
      <c r="AB35" s="43">
        <f t="shared" si="5"/>
        <v>7386.0300000000007</v>
      </c>
      <c r="AC35" s="29">
        <v>36930.15</v>
      </c>
      <c r="AD35" s="18" t="str">
        <f t="shared" si="6"/>
        <v>-</v>
      </c>
      <c r="AE35" s="44">
        <v>36930.15</v>
      </c>
      <c r="AF35" s="28" t="s">
        <v>72</v>
      </c>
      <c r="AG35" s="45" t="str">
        <f>"LEE JIA HAO_x000D_KK WOMEN'S AND CHILDREN'S HOSPITAL PTE LTD 100 BUKIT TIMAH ROAD  SINGAPORE 229899_x000D_LEE JIA HAO_x000D_TEL: 83218658_x000D_FAX: _x000D_EMAIL: lee.jia.hao1@synapxe.sg"</f>
        <v>LEE JIA HAO_x000D_KK WOMEN'S AND CHILDREN'S HOSPITAL PTE LTD 100 BUKIT TIMAH ROAD  SINGAPORE 229899_x000D_LEE JIA HAO_x000D_TEL: 83218658_x000D_FAX: _x000D_EMAIL: lee.jia.hao1@synapxe.sg</v>
      </c>
      <c r="AH35" s="46" t="s">
        <v>73</v>
      </c>
      <c r="AI35" s="46" t="s">
        <v>74</v>
      </c>
      <c r="AJ35" s="3" t="str">
        <f>"MS7JQ-00355GLP"</f>
        <v>MS7JQ-00355GLP</v>
      </c>
      <c r="AK35" s="3" t="str">
        <f>"MS SQLSVRENTCORE SNGL SA MVL 2LIC CORELIC"</f>
        <v>MS SQLSVRENTCORE SNGL SA MVL 2LIC CORELIC</v>
      </c>
      <c r="AL35" s="18" t="s">
        <v>583</v>
      </c>
      <c r="AM35" s="18" t="s">
        <v>589</v>
      </c>
      <c r="AN35" s="18" t="s">
        <v>588</v>
      </c>
      <c r="AO35" s="18" t="s">
        <v>591</v>
      </c>
    </row>
    <row r="36" spans="1:44">
      <c r="A36" s="1" t="s">
        <v>173</v>
      </c>
      <c r="B36" s="1" t="str">
        <f t="shared" si="7"/>
        <v>Show</v>
      </c>
      <c r="C36" s="4" t="s">
        <v>43</v>
      </c>
      <c r="E36" s="11" t="str">
        <f>"""UICACS"","""",""SQL="",""2=DOCNUM"",""33033299"",""14=CUSTREF"",""2823403138"",""14=U_CUSTREF"",""2823403138"",""15=DOCDATE"",""23/11/2023"",""15=TAXDATE"",""23/11/2023"",""14=CARDCODE"",""CS0507-SGD"",""14=CARDNAME"",""SENGKANG GENERAL HOSPITAL PTE. LTD."",""14=ITEMCODE"",""MS7NQ-01782GLP"&amp;""",""14=ITEMNAME"",""MS SQL SERVER STANDARD CORE 2022 SLNG 2L"",""10=QUANTITY"",""2.000000"",""14=U_PONO"",""947150"",""15=U_PODATE"",""22/11/2023"",""10=U_TLINTCOS"",""0.000000"",""2=SLPCODE"",""132"",""14=SLPNAME"",""E0001-CS"",""14=MEMO"",""WENDY KUM CHIOU SZE"",""14=CONTACTNAME"",""FINA"&amp;"NCE DEPARTMENT"",""10=LINETOTAL"",""7245.000000"",""14=U_ENR"","""",""14=U_MSENR"",""S7138270"",""14=U_MSPCN"",""BD18AB21"",""14=ADDRESS2"",""LEE SOCK KIANG_x000D_SENGKANG GENERAL HOSPITAL 110 SENGKANG EAST WAY  SINGAPORE 544886_x000D_LEE SOCK KIANG_x000D_TEL: _x000D_FAX: _x000D_EMAIL: lee.sock.kiang@skh"&amp;".com.sg"""</f>
        <v>"UICACS","","SQL=","2=DOCNUM","33033299","14=CUSTREF","2823403138","14=U_CUSTREF","2823403138","15=DOCDATE","23/11/2023","15=TAXDATE","23/11/2023","14=CARDCODE","CS0507-SGD","14=CARDNAME","SENGKANG GENERAL HOSPITAL PTE. LTD.","14=ITEMCODE","MS7NQ-01782GLP","14=ITEMNAME","MS SQL SERVER STANDARD CORE 2022 SLNG 2L","10=QUANTITY","2.000000","14=U_PONO","947150","15=U_PODATE","22/11/2023","10=U_TLINTCOS","0.000000","2=SLPCODE","132","14=SLPNAME","E0001-CS","14=MEMO","WENDY KUM CHIOU SZE","14=CONTACTNAME","FINANCE DEPARTMENT","10=LINETOTAL","7245.000000","14=U_ENR","","14=U_MSENR","S7138270","14=U_MSPCN","BD18AB21","14=ADDRESS2","LEE SOCK KIANG_x000D_SENGKANG GENERAL HOSPITAL 110 SENGKANG EAST WAY  SINGAPORE 544886_x000D_LEE SOCK KIANG_x000D_TEL: _x000D_FAX: _x000D_EMAIL: lee.sock.kiang@skh.com.sg"</v>
      </c>
      <c r="K36" s="18">
        <f t="shared" si="0"/>
        <v>11</v>
      </c>
      <c r="L36" s="18">
        <f t="shared" si="1"/>
        <v>2023</v>
      </c>
      <c r="M36" s="4">
        <v>33033299</v>
      </c>
      <c r="N36" s="40">
        <v>45253</v>
      </c>
      <c r="O36" s="18" t="str">
        <f t="shared" si="2"/>
        <v>S7138270</v>
      </c>
      <c r="P36" s="18" t="str">
        <f>"BD18AB21"</f>
        <v>BD18AB21</v>
      </c>
      <c r="Q36" s="18"/>
      <c r="R36" s="18" t="str">
        <f>"CS0507-SGD"</f>
        <v>CS0507-SGD</v>
      </c>
      <c r="S36" s="4" t="str">
        <f>"SENGKANG GENERAL HOSPITAL PTE. LTD."</f>
        <v>SENGKANG GENERAL HOSPITAL PTE. LTD.</v>
      </c>
      <c r="T36" s="18" t="str">
        <f>"2823403138"</f>
        <v>2823403138</v>
      </c>
      <c r="U36" s="40">
        <v>45252</v>
      </c>
      <c r="V36" s="40">
        <v>45253</v>
      </c>
      <c r="W36" s="41">
        <f t="shared" si="3"/>
        <v>1</v>
      </c>
      <c r="X36" s="42" t="str">
        <f>"MS7NQ-01782GLP"</f>
        <v>MS7NQ-01782GLP</v>
      </c>
      <c r="Y36" s="42" t="str">
        <f>"MS SQL SERVER STANDARD CORE 2022 SLNG 2L"</f>
        <v>MS SQL SERVER STANDARD CORE 2022 SLNG 2L</v>
      </c>
      <c r="Z36" s="42" t="str">
        <f t="shared" si="4"/>
        <v>WENDY KUM CHIOU SZE</v>
      </c>
      <c r="AA36" s="41">
        <v>2</v>
      </c>
      <c r="AB36" s="43">
        <f t="shared" si="5"/>
        <v>3622.5</v>
      </c>
      <c r="AC36" s="29">
        <v>7245</v>
      </c>
      <c r="AD36" s="18" t="str">
        <f t="shared" si="6"/>
        <v>-</v>
      </c>
      <c r="AE36" s="44">
        <v>7245</v>
      </c>
      <c r="AF36" s="28" t="s">
        <v>72</v>
      </c>
      <c r="AG36" s="45" t="str">
        <f>"LEE SOCK KIANG_x000D_SENGKANG GENERAL HOSPITAL 110 SENGKANG EAST WAY  SINGAPORE 544886_x000D_LEE SOCK KIANG_x000D_TEL: _x000D_FAX: _x000D_EMAIL: lee.sock.kiang@skh.com.sg"</f>
        <v>LEE SOCK KIANG_x000D_SENGKANG GENERAL HOSPITAL 110 SENGKANG EAST WAY  SINGAPORE 544886_x000D_LEE SOCK KIANG_x000D_TEL: _x000D_FAX: _x000D_EMAIL: lee.sock.kiang@skh.com.sg</v>
      </c>
      <c r="AH36" s="46" t="s">
        <v>73</v>
      </c>
      <c r="AI36" s="46" t="s">
        <v>74</v>
      </c>
      <c r="AJ36" s="3" t="str">
        <f>"MS7NQ-01782GLP"</f>
        <v>MS7NQ-01782GLP</v>
      </c>
      <c r="AK36" s="3" t="str">
        <f>"MS SQL SERVER STANDARD CORE 2022 SLNG 2L"</f>
        <v>MS SQL SERVER STANDARD CORE 2022 SLNG 2L</v>
      </c>
      <c r="AL36" s="18" t="s">
        <v>591</v>
      </c>
      <c r="AM36" s="18" t="s">
        <v>591</v>
      </c>
      <c r="AN36" s="18" t="s">
        <v>591</v>
      </c>
      <c r="AO36" s="18" t="s">
        <v>591</v>
      </c>
    </row>
    <row r="37" spans="1:44">
      <c r="A37" s="1" t="s">
        <v>173</v>
      </c>
      <c r="B37" s="1" t="str">
        <f t="shared" si="7"/>
        <v>Show</v>
      </c>
      <c r="C37" s="4" t="s">
        <v>43</v>
      </c>
      <c r="E37" s="11" t="str">
        <f>"""UICACS"","""",""SQL="",""2=DOCNUM"",""33033312"",""14=CUSTREF"",""9410255641"",""14=U_CUSTREF"",""9410255641"",""15=DOCDATE"",""24/11/2023"",""15=TAXDATE"",""24/11/2023"",""14=CARDCODE"",""CI1077-SGD"",""14=CARDNAME"",""KK WOMEN'S AND CHILDREN'S HOSPITAL"",""14=ITEMCODE"",""MS021-10695GLP"""&amp;",""14=ITEMNAME"",""MS OFFICE STD 2021 SNGL LTSC"",""10=QUANTITY"",""1.000000"",""14=U_PONO"",""947162"",""15=U_PODATE"",""23/11/2023"",""10=U_TLINTCOS"",""0.000000"",""2=SLPCODE"",""132"",""14=SLPNAME"",""E0001-CS"",""14=MEMO"",""WENDY KUM CHIOU SZE"",""14=CONTACTNAME"",""FINANCE DEPARTMEN"&amp;"T"",""10=LINETOTAL"",""414.400000"",""14=U_ENR"","""",""14=U_MSENR"",""S7138270"",""14=U_MSPCN"",""B1EFBA40"",""14=ADDRESS2"",""MADELINE CHAN HIU GWAN_x000D_KK WOMEN'S AND CHILDREN'S HOSPITAL EXECUTIVE OFFICE @ L3, CHILDREN’S TOWER 100 BUKIT TIMAH ROAD SINGAPORE 229899_x000D_MADELINE CH"&amp;"AN HIU GWAN_x000D_TEL: 91269185 / 6394 1099_x000D_FAX: _x000D_EMAIL: chan.hiu.gwan@kkh.com.sg"""</f>
        <v>"UICACS","","SQL=","2=DOCNUM","33033312","14=CUSTREF","9410255641","14=U_CUSTREF","9410255641","15=DOCDATE","24/11/2023","15=TAXDATE","24/11/2023","14=CARDCODE","CI1077-SGD","14=CARDNAME","KK WOMEN'S AND CHILDREN'S HOSPITAL","14=ITEMCODE","MS021-10695GLP","14=ITEMNAME","MS OFFICE STD 2021 SNGL LTSC","10=QUANTITY","1.000000","14=U_PONO","947162","15=U_PODATE","23/11/2023","10=U_TLINTCOS","0.000000","2=SLPCODE","132","14=SLPNAME","E0001-CS","14=MEMO","WENDY KUM CHIOU SZE","14=CONTACTNAME","FINANCE DEPARTMENT","10=LINETOTAL","414.400000","14=U_ENR","","14=U_MSENR","S7138270","14=U_MSPCN","B1EFBA40","14=ADDRESS2","MADELINE CHAN HIU GWAN_x000D_KK WOMEN'S AND CHILDREN'S HOSPITAL EXECUTIVE OFFICE @ L3, CHILDREN’S TOWER 100 BUKIT TIMAH ROAD SINGAPORE 229899_x000D_MADELINE CHAN HIU GWAN_x000D_TEL: 91269185 / 6394 1099_x000D_FAX: _x000D_EMAIL: chan.hiu.gwan@kkh.com.sg"</v>
      </c>
      <c r="K37" s="18">
        <f t="shared" si="0"/>
        <v>11</v>
      </c>
      <c r="L37" s="18">
        <f t="shared" si="1"/>
        <v>2023</v>
      </c>
      <c r="M37" s="4">
        <v>33033312</v>
      </c>
      <c r="N37" s="40">
        <v>45254</v>
      </c>
      <c r="O37" s="18" t="str">
        <f t="shared" si="2"/>
        <v>S7138270</v>
      </c>
      <c r="P37" s="18" t="str">
        <f>"B1EFBA40"</f>
        <v>B1EFBA40</v>
      </c>
      <c r="Q37" s="18"/>
      <c r="R37" s="18" t="str">
        <f>"CI1077-SGD"</f>
        <v>CI1077-SGD</v>
      </c>
      <c r="S37" s="4" t="str">
        <f>"KK WOMEN'S AND CHILDREN'S HOSPITAL"</f>
        <v>KK WOMEN'S AND CHILDREN'S HOSPITAL</v>
      </c>
      <c r="T37" s="18" t="str">
        <f>"9410255641"</f>
        <v>9410255641</v>
      </c>
      <c r="U37" s="40">
        <v>45253</v>
      </c>
      <c r="V37" s="40">
        <v>45254</v>
      </c>
      <c r="W37" s="41">
        <f t="shared" si="3"/>
        <v>1</v>
      </c>
      <c r="X37" s="42" t="str">
        <f>"MS021-10695GLP"</f>
        <v>MS021-10695GLP</v>
      </c>
      <c r="Y37" s="42" t="str">
        <f>"MS OFFICE STD 2021 SNGL LTSC"</f>
        <v>MS OFFICE STD 2021 SNGL LTSC</v>
      </c>
      <c r="Z37" s="42" t="str">
        <f t="shared" si="4"/>
        <v>WENDY KUM CHIOU SZE</v>
      </c>
      <c r="AA37" s="41">
        <v>1</v>
      </c>
      <c r="AB37" s="43">
        <f t="shared" si="5"/>
        <v>414.4</v>
      </c>
      <c r="AC37" s="29">
        <v>414.4</v>
      </c>
      <c r="AD37" s="18" t="str">
        <f t="shared" si="6"/>
        <v>-</v>
      </c>
      <c r="AE37" s="44">
        <v>414.4</v>
      </c>
      <c r="AF37" s="28" t="s">
        <v>72</v>
      </c>
      <c r="AG37" s="45" t="str">
        <f>"MADELINE CHAN HIU GWAN_x000D_KK WOMEN'S AND CHILDREN'S HOSPITAL EXECUTIVE OFFICE @ L3, CHILDREN’S TOWER 100 BUKIT TIMAH ROAD SINGAPORE 229899_x000D_MADELINE CHAN HIU GWAN_x000D_TEL: 91269185 / 6394 1099_x000D_FAX: _x000D_EMAIL: chan.hiu.gwan@kkh.com.sg"</f>
        <v>MADELINE CHAN HIU GWAN_x000D_KK WOMEN'S AND CHILDREN'S HOSPITAL EXECUTIVE OFFICE @ L3, CHILDREN’S TOWER 100 BUKIT TIMAH ROAD SINGAPORE 229899_x000D_MADELINE CHAN HIU GWAN_x000D_TEL: 91269185 / 6394 1099_x000D_FAX: _x000D_EMAIL: chan.hiu.gwan@kkh.com.sg</v>
      </c>
      <c r="AH37" s="46" t="s">
        <v>73</v>
      </c>
      <c r="AI37" s="46" t="s">
        <v>74</v>
      </c>
      <c r="AJ37" s="3" t="str">
        <f>"MS021-10695GLP"</f>
        <v>MS021-10695GLP</v>
      </c>
      <c r="AK37" s="3" t="str">
        <f>"MS OFFICE STD 2021 SNGL LTSC"</f>
        <v>MS OFFICE STD 2021 SNGL LTSC</v>
      </c>
      <c r="AL37" s="18" t="s">
        <v>591</v>
      </c>
      <c r="AM37" s="18" t="s">
        <v>591</v>
      </c>
      <c r="AN37" s="18" t="s">
        <v>591</v>
      </c>
      <c r="AO37" s="18" t="s">
        <v>591</v>
      </c>
    </row>
    <row r="38" spans="1:44">
      <c r="A38" s="1" t="s">
        <v>173</v>
      </c>
      <c r="B38" s="1" t="str">
        <f t="shared" si="7"/>
        <v>Show</v>
      </c>
      <c r="C38" s="4" t="s">
        <v>43</v>
      </c>
      <c r="E38" s="11" t="str">
        <f>"""UICACS"","""",""SQL="",""2=DOCNUM"",""33033351"",""14=CUSTREF"",""9410255901"",""14=U_CUSTREF"",""9410255901"",""15=DOCDATE"",""27/11/2023"",""15=TAXDATE"",""27/11/2023"",""14=CARDCODE"",""CI1077-SGD"",""14=CARDNAME"",""KK WOMEN'S AND CHILDREN'S HOSPITAL"",""14=ITEMCODE"",""MS7NQ-00300GLP"""&amp;",""14=ITEMNAME"",""MS SQLSVRSTDCORE SNGL LICSAPK MVL 2LIC CORELIC"",""10=QUANTITY"",""2.000000"",""14=U_PONO"",""947225"",""15=U_PODATE"",""27/11/2023"",""10=U_TLINTCOS"",""0.000000"",""2=SLPCODE"",""132"",""14=SLPNAME"",""E0001-CS"",""14=MEMO"",""WENDY KUM CHIOU SZE"",""14=CONTACTNAME"","&amp;"""FINANCE DEPARTMENT"",""10=LINETOTAL"",""11062.860000"",""14=U_ENR"","""",""14=U_MSENR"",""S7138270"",""14=U_MSPCN"",""B1EFBA40"",""14=ADDRESS2"",""CHONG CHUII KHIM_x000D_KK WOMEN'S AND CHILDREN'S HOSPITAL PTE LTD 100 BUKIT TIMAH ROAD  SINGAPORE 229899_x000D_CHONG CHUII KHIM_x000D_TEL: 902300"&amp;"94_x000D_FAX: _x000D_EMAIL: chong.chuii.khim@synapxe.sg"""</f>
        <v>"UICACS","","SQL=","2=DOCNUM","33033351","14=CUSTREF","9410255901","14=U_CUSTREF","9410255901","15=DOCDATE","27/11/2023","15=TAXDATE","27/11/2023","14=CARDCODE","CI1077-SGD","14=CARDNAME","KK WOMEN'S AND CHILDREN'S HOSPITAL","14=ITEMCODE","MS7NQ-00300GLP","14=ITEMNAME","MS SQLSVRSTDCORE SNGL LICSAPK MVL 2LIC CORELIC","10=QUANTITY","2.000000","14=U_PONO","947225","15=U_PODATE","27/11/2023","10=U_TLINTCOS","0.000000","2=SLPCODE","132","14=SLPNAME","E0001-CS","14=MEMO","WENDY KUM CHIOU SZE","14=CONTACTNAME","FINANCE DEPARTMENT","10=LINETOTAL","11062.860000","14=U_ENR","","14=U_MSENR","S7138270","14=U_MSPCN","B1EFBA40","14=ADDRESS2","CHONG CHUII KHIM_x000D_KK WOMEN'S AND CHILDREN'S HOSPITAL PTE LTD 100 BUKIT TIMAH ROAD  SINGAPORE 229899_x000D_CHONG CHUII KHIM_x000D_TEL: 90230094_x000D_FAX: _x000D_EMAIL: chong.chuii.khim@synapxe.sg"</v>
      </c>
      <c r="K38" s="18">
        <f t="shared" si="0"/>
        <v>11</v>
      </c>
      <c r="L38" s="18">
        <f t="shared" si="1"/>
        <v>2023</v>
      </c>
      <c r="M38" s="4">
        <v>33033351</v>
      </c>
      <c r="N38" s="40">
        <v>45257</v>
      </c>
      <c r="O38" s="18" t="str">
        <f t="shared" si="2"/>
        <v>S7138270</v>
      </c>
      <c r="P38" s="18" t="str">
        <f>"B1EFBA40"</f>
        <v>B1EFBA40</v>
      </c>
      <c r="Q38" s="18"/>
      <c r="R38" s="18" t="str">
        <f>"CI1077-SGD"</f>
        <v>CI1077-SGD</v>
      </c>
      <c r="S38" s="4" t="str">
        <f>"KK WOMEN'S AND CHILDREN'S HOSPITAL"</f>
        <v>KK WOMEN'S AND CHILDREN'S HOSPITAL</v>
      </c>
      <c r="T38" s="18" t="str">
        <f>"9410255901"</f>
        <v>9410255901</v>
      </c>
      <c r="U38" s="40">
        <v>45257</v>
      </c>
      <c r="V38" s="40">
        <v>45257</v>
      </c>
      <c r="W38" s="41">
        <f t="shared" si="3"/>
        <v>0</v>
      </c>
      <c r="X38" s="42" t="str">
        <f>"MS7NQ-00300GLP"</f>
        <v>MS7NQ-00300GLP</v>
      </c>
      <c r="Y38" s="42" t="str">
        <f>"MS SQLSVRSTDCORE SNGL LICSAPK MVL 2LIC CORELIC"</f>
        <v>MS SQLSVRSTDCORE SNGL LICSAPK MVL 2LIC CORELIC</v>
      </c>
      <c r="Z38" s="42" t="str">
        <f t="shared" si="4"/>
        <v>WENDY KUM CHIOU SZE</v>
      </c>
      <c r="AA38" s="41">
        <v>2</v>
      </c>
      <c r="AB38" s="43">
        <f t="shared" si="5"/>
        <v>5531.43</v>
      </c>
      <c r="AC38" s="29">
        <v>11062.86</v>
      </c>
      <c r="AD38" s="18" t="str">
        <f t="shared" si="6"/>
        <v>-</v>
      </c>
      <c r="AE38" s="44">
        <v>11062.86</v>
      </c>
      <c r="AF38" s="28" t="s">
        <v>72</v>
      </c>
      <c r="AG38" s="45" t="str">
        <f>"CHONG CHUII KHIM_x000D_KK WOMEN'S AND CHILDREN'S HOSPITAL PTE LTD 100 BUKIT TIMAH ROAD  SINGAPORE 229899_x000D_CHONG CHUII KHIM_x000D_TEL: 90230094_x000D_FAX: _x000D_EMAIL: chong.chuii.khim@synapxe.sg"</f>
        <v>CHONG CHUII KHIM_x000D_KK WOMEN'S AND CHILDREN'S HOSPITAL PTE LTD 100 BUKIT TIMAH ROAD  SINGAPORE 229899_x000D_CHONG CHUII KHIM_x000D_TEL: 90230094_x000D_FAX: _x000D_EMAIL: chong.chuii.khim@synapxe.sg</v>
      </c>
      <c r="AH38" s="46" t="s">
        <v>73</v>
      </c>
      <c r="AI38" s="46" t="s">
        <v>74</v>
      </c>
      <c r="AJ38" s="3" t="str">
        <f>"MS7NQ-00300GLP"</f>
        <v>MS7NQ-00300GLP</v>
      </c>
      <c r="AK38" s="3" t="str">
        <f>"MS SQLSVRSTDCORE SNGL LICSAPK MVL 2LIC CORELIC"</f>
        <v>MS SQLSVRSTDCORE SNGL LICSAPK MVL 2LIC CORELIC</v>
      </c>
      <c r="AL38" s="18" t="s">
        <v>582</v>
      </c>
      <c r="AM38" s="18" t="s">
        <v>581</v>
      </c>
      <c r="AN38" s="18" t="s">
        <v>588</v>
      </c>
      <c r="AO38" s="18" t="s">
        <v>591</v>
      </c>
    </row>
    <row r="39" spans="1:44" hidden="1">
      <c r="B39" s="1" t="str">
        <f>IF(K39="","Hide","Show")</f>
        <v>Hide</v>
      </c>
      <c r="C39" s="4" t="s">
        <v>44</v>
      </c>
      <c r="E39" s="11" t="str">
        <f>""</f>
        <v/>
      </c>
      <c r="K39" s="4" t="str">
        <f>""</f>
        <v/>
      </c>
      <c r="L39" s="28" t="str">
        <f>""</f>
        <v/>
      </c>
      <c r="M39" s="4" t="str">
        <f>""</f>
        <v/>
      </c>
      <c r="N39" s="14" t="str">
        <f>""</f>
        <v/>
      </c>
      <c r="O39" s="4" t="str">
        <f>""</f>
        <v/>
      </c>
      <c r="P39" s="4" t="str">
        <f>""</f>
        <v/>
      </c>
      <c r="Q39" s="3" t="str">
        <f>""</f>
        <v/>
      </c>
      <c r="R39" s="5"/>
      <c r="S39" s="4" t="str">
        <f>""</f>
        <v/>
      </c>
      <c r="T39" s="4" t="str">
        <f>""</f>
        <v/>
      </c>
      <c r="U39" s="4" t="str">
        <f>""</f>
        <v/>
      </c>
      <c r="V39" s="14" t="str">
        <f>""</f>
        <v/>
      </c>
      <c r="W39" s="41" t="e">
        <f t="shared" si="3"/>
        <v>#VALUE!</v>
      </c>
      <c r="X39" s="16" t="str">
        <f>""</f>
        <v/>
      </c>
      <c r="Y39" s="5" t="str">
        <f>""</f>
        <v/>
      </c>
      <c r="Z39" s="4" t="str">
        <f>""</f>
        <v/>
      </c>
      <c r="AA39" s="46">
        <f>IFERROR(AB39/V39,0)</f>
        <v>0</v>
      </c>
      <c r="AB39" s="29" t="str">
        <f>""</f>
        <v/>
      </c>
      <c r="AF39" s="28" t="s">
        <v>72</v>
      </c>
      <c r="AG39" s="45" t="str">
        <f t="shared" ref="AG39:AG42" si="8">"CHONG CHUII KHIM_x000D_KK WOMEN'S AND CHILDREN'S HOSPITAL PTE LTD 100 BUKIT TIMAH ROAD  SINGAPORE 229899_x000D_CHONG CHUII KHIM_x000D_TEL: 90230094_x000D_FAX: _x000D_EMAIL: chong.chuii.khim@synapxe.sg"</f>
        <v>CHONG CHUII KHIM_x000D_KK WOMEN'S AND CHILDREN'S HOSPITAL PTE LTD 100 BUKIT TIMAH ROAD  SINGAPORE 229899_x000D_CHONG CHUII KHIM_x000D_TEL: 90230094_x000D_FAX: _x000D_EMAIL: chong.chuii.khim@synapxe.sg</v>
      </c>
      <c r="AH39" s="46" t="s">
        <v>73</v>
      </c>
      <c r="AI39" s="46" t="s">
        <v>74</v>
      </c>
    </row>
    <row r="40" spans="1:44" hidden="1">
      <c r="B40" s="1" t="str">
        <f>IF(K40="","Hide","Show")</f>
        <v>Hide</v>
      </c>
      <c r="C40" s="4" t="s">
        <v>45</v>
      </c>
      <c r="E40" s="11" t="str">
        <f>""</f>
        <v/>
      </c>
      <c r="K40" s="4" t="str">
        <f>""</f>
        <v/>
      </c>
      <c r="L40" s="28" t="str">
        <f>""</f>
        <v/>
      </c>
      <c r="M40" s="4" t="str">
        <f>""</f>
        <v/>
      </c>
      <c r="N40" s="14" t="str">
        <f>""</f>
        <v/>
      </c>
      <c r="O40" s="4" t="str">
        <f>""</f>
        <v/>
      </c>
      <c r="P40" s="4" t="str">
        <f>""</f>
        <v/>
      </c>
      <c r="Q40" s="3" t="str">
        <f>""</f>
        <v/>
      </c>
      <c r="R40" s="5"/>
      <c r="S40" s="4" t="str">
        <f>""</f>
        <v/>
      </c>
      <c r="T40" s="4" t="str">
        <f>""</f>
        <v/>
      </c>
      <c r="U40" s="4" t="str">
        <f>""</f>
        <v/>
      </c>
      <c r="V40" s="14" t="str">
        <f>""</f>
        <v/>
      </c>
      <c r="W40" s="41" t="e">
        <f t="shared" si="3"/>
        <v>#VALUE!</v>
      </c>
      <c r="X40" s="16" t="str">
        <f>""</f>
        <v/>
      </c>
      <c r="Y40" s="5" t="str">
        <f>""</f>
        <v/>
      </c>
      <c r="Z40" s="4" t="str">
        <f>""</f>
        <v/>
      </c>
      <c r="AA40" s="46">
        <f>IFERROR(AB40/V40,0)</f>
        <v>0</v>
      </c>
      <c r="AB40" s="29" t="str">
        <f>""</f>
        <v/>
      </c>
      <c r="AF40" s="28" t="s">
        <v>72</v>
      </c>
      <c r="AG40" s="45" t="str">
        <f t="shared" si="8"/>
        <v>CHONG CHUII KHIM_x000D_KK WOMEN'S AND CHILDREN'S HOSPITAL PTE LTD 100 BUKIT TIMAH ROAD  SINGAPORE 229899_x000D_CHONG CHUII KHIM_x000D_TEL: 90230094_x000D_FAX: _x000D_EMAIL: chong.chuii.khim@synapxe.sg</v>
      </c>
      <c r="AH40" s="46" t="s">
        <v>73</v>
      </c>
      <c r="AI40" s="46" t="s">
        <v>74</v>
      </c>
    </row>
    <row r="41" spans="1:44">
      <c r="K41" s="18">
        <f t="shared" ref="K41:K42" si="9">MONTH(N41)</f>
        <v>11</v>
      </c>
      <c r="L41" s="18">
        <f t="shared" ref="L41:L42" si="10">YEAR(N41)</f>
        <v>2023</v>
      </c>
      <c r="M41" s="51">
        <v>33033210</v>
      </c>
      <c r="N41" s="57">
        <v>45240</v>
      </c>
      <c r="O41" s="18" t="str">
        <f t="shared" ref="O41:O42" si="11">"S7138270"</f>
        <v>S7138270</v>
      </c>
      <c r="P41" s="4" t="s">
        <v>599</v>
      </c>
      <c r="R41" s="51" t="s">
        <v>594</v>
      </c>
      <c r="S41" s="51" t="s">
        <v>592</v>
      </c>
      <c r="T41" s="51" t="s">
        <v>593</v>
      </c>
      <c r="U41" s="40">
        <v>45238</v>
      </c>
      <c r="V41" s="57">
        <v>45240</v>
      </c>
      <c r="W41" s="41">
        <f t="shared" si="3"/>
        <v>2</v>
      </c>
      <c r="X41" s="52" t="s">
        <v>595</v>
      </c>
      <c r="Y41" s="51" t="s">
        <v>596</v>
      </c>
      <c r="Z41" s="42" t="str">
        <f t="shared" ref="Z41:Z42" si="12">"WENDY KUM CHIOU SZE"</f>
        <v>WENDY KUM CHIOU SZE</v>
      </c>
      <c r="AA41" s="59">
        <v>1</v>
      </c>
      <c r="AB41" s="58">
        <v>907.97</v>
      </c>
      <c r="AC41" s="58">
        <v>907.97</v>
      </c>
      <c r="AE41" s="58">
        <v>907.97</v>
      </c>
      <c r="AF41" s="28" t="s">
        <v>72</v>
      </c>
      <c r="AG41" s="45" t="str">
        <f t="shared" si="8"/>
        <v>CHONG CHUII KHIM_x000D_KK WOMEN'S AND CHILDREN'S HOSPITAL PTE LTD 100 BUKIT TIMAH ROAD  SINGAPORE 229899_x000D_CHONG CHUII KHIM_x000D_TEL: 90230094_x000D_FAX: _x000D_EMAIL: chong.chuii.khim@synapxe.sg</v>
      </c>
      <c r="AH41" s="46" t="s">
        <v>73</v>
      </c>
      <c r="AI41" s="46" t="s">
        <v>74</v>
      </c>
      <c r="AJ41" s="52" t="s">
        <v>595</v>
      </c>
      <c r="AK41" s="51" t="s">
        <v>596</v>
      </c>
      <c r="AL41" s="18" t="s">
        <v>591</v>
      </c>
      <c r="AM41" s="18" t="s">
        <v>591</v>
      </c>
      <c r="AN41" s="18" t="s">
        <v>591</v>
      </c>
      <c r="AO41" s="18" t="s">
        <v>591</v>
      </c>
    </row>
    <row r="42" spans="1:44">
      <c r="K42" s="18">
        <f t="shared" si="9"/>
        <v>11</v>
      </c>
      <c r="L42" s="18">
        <f t="shared" si="10"/>
        <v>2023</v>
      </c>
      <c r="M42" s="51">
        <v>33033210</v>
      </c>
      <c r="N42" s="57">
        <v>45240</v>
      </c>
      <c r="O42" s="18" t="str">
        <f t="shared" si="11"/>
        <v>S7138270</v>
      </c>
      <c r="P42" s="4" t="s">
        <v>599</v>
      </c>
      <c r="R42" s="51" t="s">
        <v>594</v>
      </c>
      <c r="S42" s="51" t="s">
        <v>592</v>
      </c>
      <c r="T42" s="51" t="s">
        <v>593</v>
      </c>
      <c r="U42" s="40">
        <v>45238</v>
      </c>
      <c r="V42" s="57">
        <v>45240</v>
      </c>
      <c r="W42" s="41">
        <f t="shared" si="3"/>
        <v>2</v>
      </c>
      <c r="X42" s="52" t="s">
        <v>597</v>
      </c>
      <c r="Y42" s="51" t="s">
        <v>598</v>
      </c>
      <c r="Z42" s="42" t="str">
        <f t="shared" si="12"/>
        <v>WENDY KUM CHIOU SZE</v>
      </c>
      <c r="AA42" s="59">
        <v>1</v>
      </c>
      <c r="AB42" s="58">
        <v>210.8</v>
      </c>
      <c r="AC42" s="58">
        <v>210.8</v>
      </c>
      <c r="AE42" s="58">
        <v>210.8</v>
      </c>
      <c r="AF42" s="28" t="s">
        <v>72</v>
      </c>
      <c r="AG42" s="45" t="str">
        <f t="shared" si="8"/>
        <v>CHONG CHUII KHIM_x000D_KK WOMEN'S AND CHILDREN'S HOSPITAL PTE LTD 100 BUKIT TIMAH ROAD  SINGAPORE 229899_x000D_CHONG CHUII KHIM_x000D_TEL: 90230094_x000D_FAX: _x000D_EMAIL: chong.chuii.khim@synapxe.sg</v>
      </c>
      <c r="AH42" s="46" t="s">
        <v>73</v>
      </c>
      <c r="AI42" s="46" t="s">
        <v>74</v>
      </c>
      <c r="AJ42" s="52" t="s">
        <v>597</v>
      </c>
      <c r="AK42" s="51" t="s">
        <v>598</v>
      </c>
      <c r="AL42" s="18" t="s">
        <v>591</v>
      </c>
      <c r="AM42" s="18" t="s">
        <v>591</v>
      </c>
      <c r="AN42" s="18" t="s">
        <v>591</v>
      </c>
      <c r="AO42" s="18" t="s">
        <v>591</v>
      </c>
    </row>
    <row r="43" spans="1:44">
      <c r="AP43" s="14"/>
    </row>
    <row r="44" spans="1:44">
      <c r="AQ44" s="14"/>
    </row>
    <row r="45" spans="1:44">
      <c r="AR45" s="14"/>
    </row>
  </sheetData>
  <sortState xmlns:xlrd2="http://schemas.microsoft.com/office/spreadsheetml/2017/richdata2" ref="K24:AB24">
    <sortCondition ref="N24"/>
  </sortState>
  <mergeCells count="1">
    <mergeCell ref="K21:Z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8" sqref="B8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47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7D4D0-CD3E-4A0A-81E5-62EED51AA12B}">
  <dimension ref="A1:E30"/>
  <sheetViews>
    <sheetView workbookViewId="0"/>
  </sheetViews>
  <sheetFormatPr defaultRowHeight="15"/>
  <sheetData>
    <row r="1" spans="1:5">
      <c r="A1" s="48" t="s">
        <v>89</v>
      </c>
      <c r="B1" s="48" t="s">
        <v>1</v>
      </c>
      <c r="C1" s="48" t="s">
        <v>2</v>
      </c>
      <c r="D1" s="48" t="s">
        <v>3</v>
      </c>
    </row>
    <row r="2" spans="1:5">
      <c r="B2" s="48" t="s">
        <v>18</v>
      </c>
      <c r="C2" s="48" t="s">
        <v>4</v>
      </c>
    </row>
    <row r="3" spans="1:5">
      <c r="A3" s="48" t="s">
        <v>0</v>
      </c>
      <c r="B3" s="48" t="s">
        <v>5</v>
      </c>
      <c r="C3" s="48" t="s">
        <v>77</v>
      </c>
    </row>
    <row r="4" spans="1:5">
      <c r="A4" s="48" t="s">
        <v>0</v>
      </c>
      <c r="B4" s="48" t="s">
        <v>6</v>
      </c>
      <c r="C4" s="48" t="s">
        <v>78</v>
      </c>
    </row>
    <row r="5" spans="1:5">
      <c r="A5" s="48" t="s">
        <v>0</v>
      </c>
      <c r="B5" s="48" t="s">
        <v>25</v>
      </c>
      <c r="C5" s="48" t="s">
        <v>79</v>
      </c>
      <c r="D5" s="48" t="s">
        <v>80</v>
      </c>
      <c r="E5" s="48" t="s">
        <v>51</v>
      </c>
    </row>
    <row r="8" spans="1:5">
      <c r="A8" s="48" t="s">
        <v>8</v>
      </c>
      <c r="C8" s="48" t="s">
        <v>81</v>
      </c>
    </row>
    <row r="9" spans="1:5">
      <c r="A9" s="48" t="s">
        <v>9</v>
      </c>
      <c r="C9" s="48" t="s">
        <v>82</v>
      </c>
    </row>
    <row r="10" spans="1:5">
      <c r="B10" s="48" t="s">
        <v>37</v>
      </c>
      <c r="C10" s="48" t="s">
        <v>83</v>
      </c>
    </row>
    <row r="11" spans="1:5">
      <c r="B11" s="48" t="s">
        <v>35</v>
      </c>
      <c r="C11" s="48" t="s">
        <v>83</v>
      </c>
    </row>
    <row r="12" spans="1:5">
      <c r="B12" s="48" t="s">
        <v>38</v>
      </c>
      <c r="C12" s="48" t="s">
        <v>84</v>
      </c>
    </row>
    <row r="13" spans="1:5">
      <c r="B13" s="48" t="s">
        <v>39</v>
      </c>
      <c r="C13" s="48" t="s">
        <v>85</v>
      </c>
      <c r="D13" s="48" t="s">
        <v>86</v>
      </c>
    </row>
    <row r="14" spans="1:5">
      <c r="D14" s="48" t="s">
        <v>87</v>
      </c>
    </row>
    <row r="15" spans="1:5">
      <c r="D15" s="48" t="s">
        <v>52</v>
      </c>
    </row>
    <row r="28" spans="3:4">
      <c r="C28" s="48" t="s">
        <v>53</v>
      </c>
      <c r="D28" s="48" t="s">
        <v>52</v>
      </c>
    </row>
    <row r="29" spans="3:4">
      <c r="D29" s="48" t="s">
        <v>86</v>
      </c>
    </row>
    <row r="30" spans="3:4">
      <c r="D30" s="48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21F2B-CF05-47BF-AD45-78C7B2485AC8}">
  <dimension ref="A1:E30"/>
  <sheetViews>
    <sheetView workbookViewId="0"/>
  </sheetViews>
  <sheetFormatPr defaultRowHeight="15"/>
  <sheetData>
    <row r="1" spans="1:5">
      <c r="A1" s="48" t="s">
        <v>89</v>
      </c>
      <c r="B1" s="48" t="s">
        <v>1</v>
      </c>
      <c r="C1" s="48" t="s">
        <v>2</v>
      </c>
      <c r="D1" s="48" t="s">
        <v>3</v>
      </c>
    </row>
    <row r="2" spans="1:5">
      <c r="B2" s="48" t="s">
        <v>18</v>
      </c>
      <c r="C2" s="48" t="s">
        <v>4</v>
      </c>
    </row>
    <row r="3" spans="1:5">
      <c r="A3" s="48" t="s">
        <v>0</v>
      </c>
      <c r="B3" s="48" t="s">
        <v>5</v>
      </c>
      <c r="C3" s="48" t="s">
        <v>77</v>
      </c>
    </row>
    <row r="4" spans="1:5">
      <c r="A4" s="48" t="s">
        <v>0</v>
      </c>
      <c r="B4" s="48" t="s">
        <v>6</v>
      </c>
      <c r="C4" s="48" t="s">
        <v>78</v>
      </c>
    </row>
    <row r="5" spans="1:5">
      <c r="A5" s="48" t="s">
        <v>0</v>
      </c>
      <c r="B5" s="48" t="s">
        <v>25</v>
      </c>
      <c r="C5" s="48" t="s">
        <v>79</v>
      </c>
      <c r="D5" s="48" t="s">
        <v>80</v>
      </c>
      <c r="E5" s="48" t="s">
        <v>51</v>
      </c>
    </row>
    <row r="8" spans="1:5">
      <c r="A8" s="48" t="s">
        <v>8</v>
      </c>
      <c r="C8" s="48" t="s">
        <v>81</v>
      </c>
    </row>
    <row r="9" spans="1:5">
      <c r="A9" s="48" t="s">
        <v>9</v>
      </c>
      <c r="C9" s="48" t="s">
        <v>82</v>
      </c>
    </row>
    <row r="10" spans="1:5">
      <c r="B10" s="48" t="s">
        <v>37</v>
      </c>
      <c r="C10" s="48" t="s">
        <v>83</v>
      </c>
    </row>
    <row r="11" spans="1:5">
      <c r="B11" s="48" t="s">
        <v>35</v>
      </c>
      <c r="C11" s="48" t="s">
        <v>83</v>
      </c>
    </row>
    <row r="12" spans="1:5">
      <c r="B12" s="48" t="s">
        <v>38</v>
      </c>
      <c r="C12" s="48" t="s">
        <v>84</v>
      </c>
    </row>
    <row r="13" spans="1:5">
      <c r="B13" s="48" t="s">
        <v>39</v>
      </c>
      <c r="C13" s="48" t="s">
        <v>85</v>
      </c>
      <c r="D13" s="48" t="s">
        <v>86</v>
      </c>
    </row>
    <row r="14" spans="1:5">
      <c r="D14" s="48" t="s">
        <v>87</v>
      </c>
    </row>
    <row r="15" spans="1:5">
      <c r="D15" s="48" t="s">
        <v>52</v>
      </c>
    </row>
    <row r="28" spans="3:4">
      <c r="C28" s="48" t="s">
        <v>53</v>
      </c>
      <c r="D28" s="48" t="s">
        <v>52</v>
      </c>
    </row>
    <row r="29" spans="3:4">
      <c r="D29" s="48" t="s">
        <v>86</v>
      </c>
    </row>
    <row r="30" spans="3:4">
      <c r="D30" s="48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238C-0E0E-4909-8CA7-E15A9DDDD122}">
  <dimension ref="A1:AO28"/>
  <sheetViews>
    <sheetView workbookViewId="0"/>
  </sheetViews>
  <sheetFormatPr defaultRowHeight="15"/>
  <sheetData>
    <row r="1" spans="1:34">
      <c r="A1" s="48" t="s">
        <v>172</v>
      </c>
      <c r="B1" s="48" t="s">
        <v>41</v>
      </c>
      <c r="C1" s="48" t="s">
        <v>7</v>
      </c>
      <c r="D1" s="48" t="s">
        <v>7</v>
      </c>
      <c r="E1" s="48" t="s">
        <v>7</v>
      </c>
      <c r="F1" s="48" t="s">
        <v>7</v>
      </c>
      <c r="G1" s="48" t="s">
        <v>7</v>
      </c>
      <c r="H1" s="48" t="s">
        <v>7</v>
      </c>
      <c r="I1" s="48" t="s">
        <v>7</v>
      </c>
      <c r="J1" s="48" t="s">
        <v>48</v>
      </c>
      <c r="K1" s="48" t="s">
        <v>17</v>
      </c>
      <c r="L1" s="48" t="s">
        <v>17</v>
      </c>
      <c r="M1" s="48" t="s">
        <v>17</v>
      </c>
      <c r="N1" s="48" t="s">
        <v>17</v>
      </c>
      <c r="O1" s="48" t="s">
        <v>17</v>
      </c>
      <c r="P1" s="48" t="s">
        <v>17</v>
      </c>
      <c r="Q1" s="48" t="s">
        <v>17</v>
      </c>
      <c r="R1" s="48" t="s">
        <v>17</v>
      </c>
      <c r="S1" s="48" t="s">
        <v>17</v>
      </c>
      <c r="T1" s="48" t="s">
        <v>17</v>
      </c>
      <c r="U1" s="48" t="s">
        <v>17</v>
      </c>
      <c r="V1" s="48" t="s">
        <v>17</v>
      </c>
      <c r="W1" s="48" t="s">
        <v>17</v>
      </c>
      <c r="X1" s="48" t="s">
        <v>7</v>
      </c>
      <c r="Y1" s="48" t="s">
        <v>7</v>
      </c>
      <c r="Z1" s="48" t="s">
        <v>17</v>
      </c>
      <c r="AA1" s="48" t="s">
        <v>17</v>
      </c>
      <c r="AB1" s="48" t="s">
        <v>17</v>
      </c>
      <c r="AG1" s="48" t="s">
        <v>7</v>
      </c>
      <c r="AH1" s="48" t="s">
        <v>7</v>
      </c>
    </row>
    <row r="2" spans="1:34">
      <c r="A2" s="48" t="s">
        <v>7</v>
      </c>
      <c r="D2" s="48" t="s">
        <v>18</v>
      </c>
      <c r="E2" s="48" t="s">
        <v>90</v>
      </c>
    </row>
    <row r="3" spans="1:34">
      <c r="A3" s="48" t="s">
        <v>7</v>
      </c>
      <c r="D3" s="48" t="s">
        <v>21</v>
      </c>
      <c r="E3" s="48" t="s">
        <v>19</v>
      </c>
      <c r="F3" s="48" t="s">
        <v>20</v>
      </c>
      <c r="G3" s="48" t="s">
        <v>22</v>
      </c>
      <c r="H3" s="48" t="s">
        <v>42</v>
      </c>
      <c r="I3" s="48" t="s">
        <v>23</v>
      </c>
    </row>
    <row r="4" spans="1:34">
      <c r="A4" s="48" t="s">
        <v>7</v>
      </c>
      <c r="C4" s="48" t="s">
        <v>11</v>
      </c>
      <c r="D4" s="48" t="s">
        <v>91</v>
      </c>
      <c r="E4" s="48" t="s">
        <v>92</v>
      </c>
      <c r="F4" s="48" t="s">
        <v>46</v>
      </c>
      <c r="G4" s="48" t="s">
        <v>24</v>
      </c>
      <c r="H4" s="48" t="s">
        <v>93</v>
      </c>
    </row>
    <row r="5" spans="1:34">
      <c r="A5" s="48" t="s">
        <v>7</v>
      </c>
      <c r="C5" s="48" t="s">
        <v>10</v>
      </c>
      <c r="D5" s="48" t="s">
        <v>94</v>
      </c>
      <c r="E5" s="48" t="s">
        <v>95</v>
      </c>
      <c r="F5" s="48" t="s">
        <v>47</v>
      </c>
      <c r="G5" s="48" t="s">
        <v>24</v>
      </c>
      <c r="H5" s="48" t="s">
        <v>93</v>
      </c>
      <c r="I5" s="48" t="s">
        <v>96</v>
      </c>
    </row>
    <row r="6" spans="1:34">
      <c r="A6" s="48" t="s">
        <v>7</v>
      </c>
      <c r="C6" s="48" t="s">
        <v>36</v>
      </c>
      <c r="D6" s="48" t="s">
        <v>97</v>
      </c>
      <c r="E6" s="48" t="s">
        <v>98</v>
      </c>
      <c r="F6" s="48" t="s">
        <v>47</v>
      </c>
      <c r="G6" s="48" t="s">
        <v>24</v>
      </c>
      <c r="H6" s="48" t="s">
        <v>93</v>
      </c>
      <c r="I6" s="48" t="s">
        <v>99</v>
      </c>
    </row>
    <row r="7" spans="1:34">
      <c r="A7" s="48" t="s">
        <v>7</v>
      </c>
    </row>
    <row r="8" spans="1:34">
      <c r="A8" s="48" t="s">
        <v>7</v>
      </c>
    </row>
    <row r="9" spans="1:34">
      <c r="A9" s="48" t="s">
        <v>7</v>
      </c>
    </row>
    <row r="10" spans="1:34">
      <c r="A10" s="48" t="s">
        <v>7</v>
      </c>
    </row>
    <row r="11" spans="1:34">
      <c r="A11" s="48" t="s">
        <v>7</v>
      </c>
      <c r="C11" s="48" t="s">
        <v>26</v>
      </c>
      <c r="E11" s="48" t="s">
        <v>100</v>
      </c>
    </row>
    <row r="12" spans="1:34">
      <c r="A12" s="48" t="s">
        <v>7</v>
      </c>
      <c r="C12" s="48" t="s">
        <v>27</v>
      </c>
      <c r="E12" s="48" t="s">
        <v>101</v>
      </c>
    </row>
    <row r="13" spans="1:34">
      <c r="A13" s="48" t="s">
        <v>7</v>
      </c>
      <c r="C13" s="48" t="s">
        <v>37</v>
      </c>
      <c r="E13" s="48" t="s">
        <v>102</v>
      </c>
    </row>
    <row r="14" spans="1:34">
      <c r="A14" s="48" t="s">
        <v>7</v>
      </c>
      <c r="C14" s="48" t="s">
        <v>35</v>
      </c>
      <c r="E14" s="48" t="s">
        <v>103</v>
      </c>
    </row>
    <row r="15" spans="1:34">
      <c r="A15" s="48" t="s">
        <v>7</v>
      </c>
      <c r="C15" s="48" t="s">
        <v>38</v>
      </c>
      <c r="E15" s="48" t="s">
        <v>104</v>
      </c>
    </row>
    <row r="16" spans="1:34">
      <c r="A16" s="48" t="s">
        <v>7</v>
      </c>
      <c r="C16" s="48" t="s">
        <v>39</v>
      </c>
      <c r="E16" s="48" t="s">
        <v>105</v>
      </c>
    </row>
    <row r="17" spans="1:41">
      <c r="A17" s="48" t="s">
        <v>7</v>
      </c>
    </row>
    <row r="18" spans="1:41">
      <c r="A18" s="48" t="s">
        <v>7</v>
      </c>
    </row>
    <row r="21" spans="1:41">
      <c r="K21" s="48" t="s">
        <v>40</v>
      </c>
    </row>
    <row r="23" spans="1:41">
      <c r="E23" s="48" t="s">
        <v>28</v>
      </c>
      <c r="K23" s="48" t="s">
        <v>54</v>
      </c>
      <c r="L23" s="48" t="s">
        <v>55</v>
      </c>
      <c r="M23" s="48" t="s">
        <v>14</v>
      </c>
      <c r="N23" s="48" t="s">
        <v>15</v>
      </c>
      <c r="O23" s="48" t="s">
        <v>29</v>
      </c>
      <c r="P23" s="48" t="s">
        <v>56</v>
      </c>
      <c r="Q23" s="48" t="s">
        <v>57</v>
      </c>
      <c r="R23" s="48" t="s">
        <v>30</v>
      </c>
      <c r="S23" s="48" t="s">
        <v>34</v>
      </c>
      <c r="T23" s="48" t="s">
        <v>32</v>
      </c>
      <c r="U23" s="48" t="s">
        <v>16</v>
      </c>
      <c r="V23" s="48" t="s">
        <v>58</v>
      </c>
      <c r="W23" s="48" t="s">
        <v>59</v>
      </c>
      <c r="X23" s="48" t="s">
        <v>33</v>
      </c>
      <c r="Y23" s="48" t="s">
        <v>12</v>
      </c>
      <c r="Z23" s="48" t="s">
        <v>31</v>
      </c>
      <c r="AA23" s="48" t="s">
        <v>13</v>
      </c>
      <c r="AB23" s="48" t="s">
        <v>49</v>
      </c>
      <c r="AC23" s="48" t="s">
        <v>50</v>
      </c>
      <c r="AD23" s="48" t="s">
        <v>60</v>
      </c>
      <c r="AE23" s="48" t="s">
        <v>61</v>
      </c>
      <c r="AF23" s="48" t="s">
        <v>62</v>
      </c>
      <c r="AG23" s="48" t="s">
        <v>63</v>
      </c>
      <c r="AH23" s="48" t="s">
        <v>64</v>
      </c>
      <c r="AI23" s="48" t="s">
        <v>65</v>
      </c>
      <c r="AJ23" s="48" t="s">
        <v>66</v>
      </c>
      <c r="AK23" s="48" t="s">
        <v>67</v>
      </c>
      <c r="AL23" s="48" t="s">
        <v>68</v>
      </c>
      <c r="AM23" s="48" t="s">
        <v>69</v>
      </c>
      <c r="AN23" s="48" t="s">
        <v>70</v>
      </c>
      <c r="AO23" s="48" t="s">
        <v>71</v>
      </c>
    </row>
    <row r="24" spans="1:41">
      <c r="B24" s="48" t="s">
        <v>106</v>
      </c>
      <c r="C24" s="48" t="s">
        <v>43</v>
      </c>
      <c r="E24" s="48" t="s">
        <v>107</v>
      </c>
      <c r="K24" s="48" t="s">
        <v>108</v>
      </c>
      <c r="L24" s="48" t="s">
        <v>109</v>
      </c>
      <c r="M24" s="48" t="s">
        <v>110</v>
      </c>
      <c r="N24" s="48" t="s">
        <v>111</v>
      </c>
      <c r="O24" s="48" t="s">
        <v>112</v>
      </c>
      <c r="P24" s="48" t="s">
        <v>113</v>
      </c>
      <c r="R24" s="48" t="s">
        <v>114</v>
      </c>
      <c r="S24" s="48" t="s">
        <v>115</v>
      </c>
      <c r="T24" s="48" t="s">
        <v>116</v>
      </c>
      <c r="U24" s="48" t="s">
        <v>117</v>
      </c>
      <c r="V24" s="48" t="s">
        <v>118</v>
      </c>
      <c r="W24" s="48" t="s">
        <v>119</v>
      </c>
      <c r="X24" s="48" t="s">
        <v>120</v>
      </c>
      <c r="Y24" s="48" t="s">
        <v>121</v>
      </c>
      <c r="Z24" s="48" t="s">
        <v>122</v>
      </c>
      <c r="AA24" s="48" t="s">
        <v>123</v>
      </c>
      <c r="AB24" s="48" t="s">
        <v>124</v>
      </c>
      <c r="AC24" s="48" t="s">
        <v>125</v>
      </c>
      <c r="AD24" s="48" t="s">
        <v>126</v>
      </c>
      <c r="AE24" s="48" t="s">
        <v>125</v>
      </c>
      <c r="AF24" s="48" t="s">
        <v>72</v>
      </c>
      <c r="AG24" s="48" t="s">
        <v>127</v>
      </c>
      <c r="AH24" s="48" t="s">
        <v>73</v>
      </c>
      <c r="AI24" s="48" t="s">
        <v>74</v>
      </c>
      <c r="AJ24" s="48" t="s">
        <v>128</v>
      </c>
      <c r="AK24" s="48" t="s">
        <v>129</v>
      </c>
      <c r="AL24" s="48" t="s">
        <v>130</v>
      </c>
      <c r="AM24" s="48" t="s">
        <v>131</v>
      </c>
      <c r="AN24" s="48" t="s">
        <v>132</v>
      </c>
      <c r="AO24" s="48" t="s">
        <v>133</v>
      </c>
    </row>
    <row r="25" spans="1:41">
      <c r="B25" s="48" t="s">
        <v>134</v>
      </c>
      <c r="C25" s="48" t="s">
        <v>44</v>
      </c>
      <c r="E25" s="48" t="s">
        <v>135</v>
      </c>
      <c r="K25" s="48" t="s">
        <v>136</v>
      </c>
      <c r="L25" s="48" t="s">
        <v>137</v>
      </c>
      <c r="M25" s="48" t="s">
        <v>138</v>
      </c>
      <c r="N25" s="48" t="s">
        <v>139</v>
      </c>
      <c r="O25" s="48" t="s">
        <v>140</v>
      </c>
      <c r="P25" s="48" t="s">
        <v>141</v>
      </c>
      <c r="Q25" s="48" t="s">
        <v>142</v>
      </c>
      <c r="S25" s="48" t="s">
        <v>141</v>
      </c>
      <c r="T25" s="48" t="s">
        <v>143</v>
      </c>
      <c r="U25" s="48" t="s">
        <v>144</v>
      </c>
      <c r="V25" s="48" t="s">
        <v>145</v>
      </c>
      <c r="W25" s="48" t="s">
        <v>146</v>
      </c>
      <c r="X25" s="48" t="s">
        <v>147</v>
      </c>
      <c r="Y25" s="48" t="s">
        <v>148</v>
      </c>
      <c r="Z25" s="48" t="s">
        <v>149</v>
      </c>
      <c r="AA25" s="48" t="s">
        <v>150</v>
      </c>
      <c r="AB25" s="48" t="s">
        <v>151</v>
      </c>
    </row>
    <row r="26" spans="1:41">
      <c r="B26" s="48" t="s">
        <v>152</v>
      </c>
      <c r="C26" s="48" t="s">
        <v>45</v>
      </c>
      <c r="E26" s="48" t="s">
        <v>153</v>
      </c>
      <c r="K26" s="48" t="s">
        <v>154</v>
      </c>
      <c r="L26" s="48" t="s">
        <v>155</v>
      </c>
      <c r="M26" s="48" t="s">
        <v>156</v>
      </c>
      <c r="N26" s="48" t="s">
        <v>157</v>
      </c>
      <c r="O26" s="48" t="s">
        <v>158</v>
      </c>
      <c r="P26" s="48" t="s">
        <v>159</v>
      </c>
      <c r="Q26" s="48" t="s">
        <v>160</v>
      </c>
      <c r="S26" s="48" t="s">
        <v>159</v>
      </c>
      <c r="T26" s="48" t="s">
        <v>161</v>
      </c>
      <c r="U26" s="48" t="s">
        <v>162</v>
      </c>
      <c r="V26" s="48" t="s">
        <v>163</v>
      </c>
      <c r="W26" s="48" t="s">
        <v>164</v>
      </c>
      <c r="X26" s="48" t="s">
        <v>165</v>
      </c>
      <c r="Y26" s="48" t="s">
        <v>166</v>
      </c>
      <c r="Z26" s="48" t="s">
        <v>167</v>
      </c>
      <c r="AA26" s="48" t="s">
        <v>168</v>
      </c>
      <c r="AB26" s="48" t="s">
        <v>169</v>
      </c>
    </row>
    <row r="28" spans="1:41">
      <c r="AA28" s="48" t="s">
        <v>170</v>
      </c>
      <c r="AB28" s="48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3D01C-AF04-4FDC-91E3-DEFFC0F21448}">
  <dimension ref="A1:AO28"/>
  <sheetViews>
    <sheetView workbookViewId="0"/>
  </sheetViews>
  <sheetFormatPr defaultRowHeight="15"/>
  <sheetData>
    <row r="1" spans="1:34">
      <c r="A1" s="48" t="s">
        <v>172</v>
      </c>
      <c r="B1" s="48" t="s">
        <v>41</v>
      </c>
      <c r="C1" s="48" t="s">
        <v>7</v>
      </c>
      <c r="D1" s="48" t="s">
        <v>7</v>
      </c>
      <c r="E1" s="48" t="s">
        <v>7</v>
      </c>
      <c r="F1" s="48" t="s">
        <v>7</v>
      </c>
      <c r="G1" s="48" t="s">
        <v>7</v>
      </c>
      <c r="H1" s="48" t="s">
        <v>7</v>
      </c>
      <c r="I1" s="48" t="s">
        <v>7</v>
      </c>
      <c r="J1" s="48" t="s">
        <v>48</v>
      </c>
      <c r="K1" s="48" t="s">
        <v>17</v>
      </c>
      <c r="L1" s="48" t="s">
        <v>17</v>
      </c>
      <c r="M1" s="48" t="s">
        <v>17</v>
      </c>
      <c r="N1" s="48" t="s">
        <v>17</v>
      </c>
      <c r="O1" s="48" t="s">
        <v>17</v>
      </c>
      <c r="P1" s="48" t="s">
        <v>17</v>
      </c>
      <c r="Q1" s="48" t="s">
        <v>17</v>
      </c>
      <c r="R1" s="48" t="s">
        <v>17</v>
      </c>
      <c r="S1" s="48" t="s">
        <v>17</v>
      </c>
      <c r="T1" s="48" t="s">
        <v>17</v>
      </c>
      <c r="U1" s="48" t="s">
        <v>17</v>
      </c>
      <c r="V1" s="48" t="s">
        <v>17</v>
      </c>
      <c r="W1" s="48" t="s">
        <v>17</v>
      </c>
      <c r="X1" s="48" t="s">
        <v>7</v>
      </c>
      <c r="Y1" s="48" t="s">
        <v>7</v>
      </c>
      <c r="Z1" s="48" t="s">
        <v>17</v>
      </c>
      <c r="AA1" s="48" t="s">
        <v>17</v>
      </c>
      <c r="AB1" s="48" t="s">
        <v>17</v>
      </c>
      <c r="AG1" s="48" t="s">
        <v>7</v>
      </c>
      <c r="AH1" s="48" t="s">
        <v>7</v>
      </c>
    </row>
    <row r="2" spans="1:34">
      <c r="A2" s="48" t="s">
        <v>7</v>
      </c>
      <c r="D2" s="48" t="s">
        <v>18</v>
      </c>
      <c r="E2" s="48" t="s">
        <v>90</v>
      </c>
    </row>
    <row r="3" spans="1:34">
      <c r="A3" s="48" t="s">
        <v>7</v>
      </c>
      <c r="D3" s="48" t="s">
        <v>21</v>
      </c>
      <c r="E3" s="48" t="s">
        <v>19</v>
      </c>
      <c r="F3" s="48" t="s">
        <v>20</v>
      </c>
      <c r="G3" s="48" t="s">
        <v>22</v>
      </c>
      <c r="H3" s="48" t="s">
        <v>42</v>
      </c>
      <c r="I3" s="48" t="s">
        <v>23</v>
      </c>
    </row>
    <row r="4" spans="1:34">
      <c r="A4" s="48" t="s">
        <v>7</v>
      </c>
      <c r="C4" s="48" t="s">
        <v>11</v>
      </c>
      <c r="D4" s="48" t="s">
        <v>91</v>
      </c>
      <c r="E4" s="48" t="s">
        <v>92</v>
      </c>
      <c r="F4" s="48" t="s">
        <v>46</v>
      </c>
      <c r="G4" s="48" t="s">
        <v>24</v>
      </c>
      <c r="H4" s="48" t="s">
        <v>93</v>
      </c>
    </row>
    <row r="5" spans="1:34">
      <c r="A5" s="48" t="s">
        <v>7</v>
      </c>
      <c r="C5" s="48" t="s">
        <v>10</v>
      </c>
      <c r="D5" s="48" t="s">
        <v>94</v>
      </c>
      <c r="E5" s="48" t="s">
        <v>95</v>
      </c>
      <c r="F5" s="48" t="s">
        <v>47</v>
      </c>
      <c r="G5" s="48" t="s">
        <v>24</v>
      </c>
      <c r="H5" s="48" t="s">
        <v>93</v>
      </c>
      <c r="I5" s="48" t="s">
        <v>96</v>
      </c>
    </row>
    <row r="6" spans="1:34">
      <c r="A6" s="48" t="s">
        <v>7</v>
      </c>
      <c r="C6" s="48" t="s">
        <v>36</v>
      </c>
      <c r="D6" s="48" t="s">
        <v>97</v>
      </c>
      <c r="E6" s="48" t="s">
        <v>98</v>
      </c>
      <c r="F6" s="48" t="s">
        <v>47</v>
      </c>
      <c r="G6" s="48" t="s">
        <v>24</v>
      </c>
      <c r="H6" s="48" t="s">
        <v>93</v>
      </c>
      <c r="I6" s="48" t="s">
        <v>99</v>
      </c>
    </row>
    <row r="7" spans="1:34">
      <c r="A7" s="48" t="s">
        <v>7</v>
      </c>
    </row>
    <row r="8" spans="1:34">
      <c r="A8" s="48" t="s">
        <v>7</v>
      </c>
    </row>
    <row r="9" spans="1:34">
      <c r="A9" s="48" t="s">
        <v>7</v>
      </c>
    </row>
    <row r="10" spans="1:34">
      <c r="A10" s="48" t="s">
        <v>7</v>
      </c>
    </row>
    <row r="11" spans="1:34">
      <c r="A11" s="48" t="s">
        <v>7</v>
      </c>
      <c r="C11" s="48" t="s">
        <v>26</v>
      </c>
      <c r="E11" s="48" t="s">
        <v>100</v>
      </c>
    </row>
    <row r="12" spans="1:34">
      <c r="A12" s="48" t="s">
        <v>7</v>
      </c>
      <c r="C12" s="48" t="s">
        <v>27</v>
      </c>
      <c r="E12" s="48" t="s">
        <v>101</v>
      </c>
    </row>
    <row r="13" spans="1:34">
      <c r="A13" s="48" t="s">
        <v>7</v>
      </c>
      <c r="C13" s="48" t="s">
        <v>37</v>
      </c>
      <c r="E13" s="48" t="s">
        <v>102</v>
      </c>
    </row>
    <row r="14" spans="1:34">
      <c r="A14" s="48" t="s">
        <v>7</v>
      </c>
      <c r="C14" s="48" t="s">
        <v>35</v>
      </c>
      <c r="E14" s="48" t="s">
        <v>103</v>
      </c>
    </row>
    <row r="15" spans="1:34">
      <c r="A15" s="48" t="s">
        <v>7</v>
      </c>
      <c r="C15" s="48" t="s">
        <v>38</v>
      </c>
      <c r="E15" s="48" t="s">
        <v>104</v>
      </c>
    </row>
    <row r="16" spans="1:34">
      <c r="A16" s="48" t="s">
        <v>7</v>
      </c>
      <c r="C16" s="48" t="s">
        <v>39</v>
      </c>
      <c r="E16" s="48" t="s">
        <v>105</v>
      </c>
    </row>
    <row r="17" spans="1:41">
      <c r="A17" s="48" t="s">
        <v>7</v>
      </c>
    </row>
    <row r="18" spans="1:41">
      <c r="A18" s="48" t="s">
        <v>7</v>
      </c>
    </row>
    <row r="21" spans="1:41">
      <c r="K21" s="48" t="s">
        <v>40</v>
      </c>
    </row>
    <row r="23" spans="1:41">
      <c r="E23" s="48" t="s">
        <v>28</v>
      </c>
      <c r="K23" s="48" t="s">
        <v>54</v>
      </c>
      <c r="L23" s="48" t="s">
        <v>55</v>
      </c>
      <c r="M23" s="48" t="s">
        <v>14</v>
      </c>
      <c r="N23" s="48" t="s">
        <v>15</v>
      </c>
      <c r="O23" s="48" t="s">
        <v>29</v>
      </c>
      <c r="P23" s="48" t="s">
        <v>56</v>
      </c>
      <c r="Q23" s="48" t="s">
        <v>57</v>
      </c>
      <c r="R23" s="48" t="s">
        <v>30</v>
      </c>
      <c r="S23" s="48" t="s">
        <v>34</v>
      </c>
      <c r="T23" s="48" t="s">
        <v>32</v>
      </c>
      <c r="U23" s="48" t="s">
        <v>16</v>
      </c>
      <c r="V23" s="48" t="s">
        <v>58</v>
      </c>
      <c r="W23" s="48" t="s">
        <v>59</v>
      </c>
      <c r="X23" s="48" t="s">
        <v>33</v>
      </c>
      <c r="Y23" s="48" t="s">
        <v>12</v>
      </c>
      <c r="Z23" s="48" t="s">
        <v>31</v>
      </c>
      <c r="AA23" s="48" t="s">
        <v>13</v>
      </c>
      <c r="AB23" s="48" t="s">
        <v>49</v>
      </c>
      <c r="AC23" s="48" t="s">
        <v>50</v>
      </c>
      <c r="AD23" s="48" t="s">
        <v>60</v>
      </c>
      <c r="AE23" s="48" t="s">
        <v>61</v>
      </c>
      <c r="AF23" s="48" t="s">
        <v>62</v>
      </c>
      <c r="AG23" s="48" t="s">
        <v>63</v>
      </c>
      <c r="AH23" s="48" t="s">
        <v>64</v>
      </c>
      <c r="AI23" s="48" t="s">
        <v>65</v>
      </c>
      <c r="AJ23" s="48" t="s">
        <v>66</v>
      </c>
      <c r="AK23" s="48" t="s">
        <v>67</v>
      </c>
      <c r="AL23" s="48" t="s">
        <v>68</v>
      </c>
      <c r="AM23" s="48" t="s">
        <v>69</v>
      </c>
      <c r="AN23" s="48" t="s">
        <v>70</v>
      </c>
      <c r="AO23" s="48" t="s">
        <v>71</v>
      </c>
    </row>
    <row r="24" spans="1:41">
      <c r="B24" s="48" t="s">
        <v>106</v>
      </c>
      <c r="C24" s="48" t="s">
        <v>43</v>
      </c>
      <c r="E24" s="48" t="s">
        <v>107</v>
      </c>
      <c r="K24" s="48" t="s">
        <v>108</v>
      </c>
      <c r="L24" s="48" t="s">
        <v>109</v>
      </c>
      <c r="M24" s="48" t="s">
        <v>110</v>
      </c>
      <c r="N24" s="48" t="s">
        <v>111</v>
      </c>
      <c r="O24" s="48" t="s">
        <v>112</v>
      </c>
      <c r="P24" s="48" t="s">
        <v>113</v>
      </c>
      <c r="R24" s="48" t="s">
        <v>114</v>
      </c>
      <c r="S24" s="48" t="s">
        <v>115</v>
      </c>
      <c r="T24" s="48" t="s">
        <v>116</v>
      </c>
      <c r="U24" s="48" t="s">
        <v>117</v>
      </c>
      <c r="V24" s="48" t="s">
        <v>118</v>
      </c>
      <c r="W24" s="48" t="s">
        <v>119</v>
      </c>
      <c r="X24" s="48" t="s">
        <v>120</v>
      </c>
      <c r="Y24" s="48" t="s">
        <v>121</v>
      </c>
      <c r="Z24" s="48" t="s">
        <v>122</v>
      </c>
      <c r="AA24" s="48" t="s">
        <v>123</v>
      </c>
      <c r="AB24" s="48" t="s">
        <v>124</v>
      </c>
      <c r="AC24" s="48" t="s">
        <v>125</v>
      </c>
      <c r="AD24" s="48" t="s">
        <v>126</v>
      </c>
      <c r="AE24" s="48" t="s">
        <v>125</v>
      </c>
      <c r="AF24" s="48" t="s">
        <v>72</v>
      </c>
      <c r="AG24" s="48" t="s">
        <v>127</v>
      </c>
      <c r="AH24" s="48" t="s">
        <v>73</v>
      </c>
      <c r="AI24" s="48" t="s">
        <v>74</v>
      </c>
      <c r="AJ24" s="48" t="s">
        <v>128</v>
      </c>
      <c r="AK24" s="48" t="s">
        <v>129</v>
      </c>
      <c r="AL24" s="48" t="s">
        <v>130</v>
      </c>
      <c r="AM24" s="48" t="s">
        <v>131</v>
      </c>
      <c r="AN24" s="48" t="s">
        <v>132</v>
      </c>
      <c r="AO24" s="48" t="s">
        <v>133</v>
      </c>
    </row>
    <row r="25" spans="1:41">
      <c r="B25" s="48" t="s">
        <v>134</v>
      </c>
      <c r="C25" s="48" t="s">
        <v>44</v>
      </c>
      <c r="E25" s="48" t="s">
        <v>135</v>
      </c>
      <c r="K25" s="48" t="s">
        <v>136</v>
      </c>
      <c r="L25" s="48" t="s">
        <v>137</v>
      </c>
      <c r="M25" s="48" t="s">
        <v>138</v>
      </c>
      <c r="N25" s="48" t="s">
        <v>139</v>
      </c>
      <c r="O25" s="48" t="s">
        <v>140</v>
      </c>
      <c r="P25" s="48" t="s">
        <v>141</v>
      </c>
      <c r="Q25" s="48" t="s">
        <v>142</v>
      </c>
      <c r="S25" s="48" t="s">
        <v>141</v>
      </c>
      <c r="T25" s="48" t="s">
        <v>143</v>
      </c>
      <c r="U25" s="48" t="s">
        <v>144</v>
      </c>
      <c r="V25" s="48" t="s">
        <v>145</v>
      </c>
      <c r="W25" s="48" t="s">
        <v>146</v>
      </c>
      <c r="X25" s="48" t="s">
        <v>147</v>
      </c>
      <c r="Y25" s="48" t="s">
        <v>148</v>
      </c>
      <c r="Z25" s="48" t="s">
        <v>149</v>
      </c>
      <c r="AA25" s="48" t="s">
        <v>150</v>
      </c>
      <c r="AB25" s="48" t="s">
        <v>151</v>
      </c>
    </row>
    <row r="26" spans="1:41">
      <c r="B26" s="48" t="s">
        <v>152</v>
      </c>
      <c r="C26" s="48" t="s">
        <v>45</v>
      </c>
      <c r="E26" s="48" t="s">
        <v>153</v>
      </c>
      <c r="K26" s="48" t="s">
        <v>154</v>
      </c>
      <c r="L26" s="48" t="s">
        <v>155</v>
      </c>
      <c r="M26" s="48" t="s">
        <v>156</v>
      </c>
      <c r="N26" s="48" t="s">
        <v>157</v>
      </c>
      <c r="O26" s="48" t="s">
        <v>158</v>
      </c>
      <c r="P26" s="48" t="s">
        <v>159</v>
      </c>
      <c r="Q26" s="48" t="s">
        <v>160</v>
      </c>
      <c r="S26" s="48" t="s">
        <v>159</v>
      </c>
      <c r="T26" s="48" t="s">
        <v>161</v>
      </c>
      <c r="U26" s="48" t="s">
        <v>162</v>
      </c>
      <c r="V26" s="48" t="s">
        <v>163</v>
      </c>
      <c r="W26" s="48" t="s">
        <v>164</v>
      </c>
      <c r="X26" s="48" t="s">
        <v>165</v>
      </c>
      <c r="Y26" s="48" t="s">
        <v>166</v>
      </c>
      <c r="Z26" s="48" t="s">
        <v>167</v>
      </c>
      <c r="AA26" s="48" t="s">
        <v>168</v>
      </c>
      <c r="AB26" s="48" t="s">
        <v>169</v>
      </c>
    </row>
    <row r="28" spans="1:41">
      <c r="AA28" s="48" t="s">
        <v>170</v>
      </c>
      <c r="AB28" s="48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35C93-3A26-434B-BE23-7BDC6869FF10}">
  <dimension ref="A1:E30"/>
  <sheetViews>
    <sheetView workbookViewId="0"/>
  </sheetViews>
  <sheetFormatPr defaultRowHeight="15"/>
  <sheetData>
    <row r="1" spans="1:5">
      <c r="A1" s="48" t="s">
        <v>175</v>
      </c>
      <c r="B1" s="48" t="s">
        <v>1</v>
      </c>
      <c r="C1" s="48" t="s">
        <v>2</v>
      </c>
      <c r="D1" s="48" t="s">
        <v>3</v>
      </c>
    </row>
    <row r="2" spans="1:5">
      <c r="B2" s="48" t="s">
        <v>18</v>
      </c>
      <c r="C2" s="48" t="s">
        <v>4</v>
      </c>
    </row>
    <row r="3" spans="1:5">
      <c r="A3" s="48" t="s">
        <v>0</v>
      </c>
      <c r="B3" s="48" t="s">
        <v>5</v>
      </c>
      <c r="C3" s="48" t="s">
        <v>77</v>
      </c>
    </row>
    <row r="4" spans="1:5">
      <c r="A4" s="48" t="s">
        <v>0</v>
      </c>
      <c r="B4" s="48" t="s">
        <v>6</v>
      </c>
      <c r="C4" s="48" t="s">
        <v>78</v>
      </c>
    </row>
    <row r="5" spans="1:5">
      <c r="A5" s="48" t="s">
        <v>0</v>
      </c>
      <c r="B5" s="48" t="s">
        <v>25</v>
      </c>
      <c r="C5" s="48" t="s">
        <v>79</v>
      </c>
      <c r="D5" s="48" t="s">
        <v>80</v>
      </c>
      <c r="E5" s="48" t="s">
        <v>51</v>
      </c>
    </row>
    <row r="8" spans="1:5">
      <c r="A8" s="48" t="s">
        <v>8</v>
      </c>
      <c r="C8" s="48" t="s">
        <v>81</v>
      </c>
    </row>
    <row r="9" spans="1:5">
      <c r="A9" s="48" t="s">
        <v>9</v>
      </c>
      <c r="C9" s="48" t="s">
        <v>82</v>
      </c>
    </row>
    <row r="10" spans="1:5">
      <c r="B10" s="48" t="s">
        <v>37</v>
      </c>
      <c r="C10" s="48" t="s">
        <v>83</v>
      </c>
    </row>
    <row r="11" spans="1:5">
      <c r="B11" s="48" t="s">
        <v>35</v>
      </c>
      <c r="C11" s="48" t="s">
        <v>83</v>
      </c>
    </row>
    <row r="12" spans="1:5">
      <c r="B12" s="48" t="s">
        <v>38</v>
      </c>
      <c r="C12" s="48" t="s">
        <v>84</v>
      </c>
    </row>
    <row r="13" spans="1:5">
      <c r="B13" s="48" t="s">
        <v>39</v>
      </c>
      <c r="C13" s="48" t="s">
        <v>85</v>
      </c>
      <c r="D13" s="48" t="s">
        <v>86</v>
      </c>
    </row>
    <row r="14" spans="1:5">
      <c r="D14" s="48" t="s">
        <v>87</v>
      </c>
    </row>
    <row r="15" spans="1:5">
      <c r="D15" s="48" t="s">
        <v>52</v>
      </c>
    </row>
    <row r="28" spans="3:4">
      <c r="C28" s="48" t="s">
        <v>53</v>
      </c>
      <c r="D28" s="48" t="s">
        <v>52</v>
      </c>
    </row>
    <row r="29" spans="3:4">
      <c r="D29" s="48" t="s">
        <v>86</v>
      </c>
    </row>
    <row r="30" spans="3:4">
      <c r="D30" s="48" t="s">
        <v>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F22A4-77A4-4032-99D2-C1C2AC901699}">
  <dimension ref="A1:AO42"/>
  <sheetViews>
    <sheetView workbookViewId="0"/>
  </sheetViews>
  <sheetFormatPr defaultRowHeight="15"/>
  <sheetData>
    <row r="1" spans="1:34">
      <c r="A1" s="48" t="s">
        <v>579</v>
      </c>
      <c r="B1" s="48" t="s">
        <v>41</v>
      </c>
      <c r="C1" s="48" t="s">
        <v>7</v>
      </c>
      <c r="D1" s="48" t="s">
        <v>7</v>
      </c>
      <c r="E1" s="48" t="s">
        <v>7</v>
      </c>
      <c r="F1" s="48" t="s">
        <v>7</v>
      </c>
      <c r="G1" s="48" t="s">
        <v>7</v>
      </c>
      <c r="H1" s="48" t="s">
        <v>7</v>
      </c>
      <c r="I1" s="48" t="s">
        <v>7</v>
      </c>
      <c r="J1" s="48" t="s">
        <v>48</v>
      </c>
      <c r="K1" s="48" t="s">
        <v>17</v>
      </c>
      <c r="L1" s="48" t="s">
        <v>17</v>
      </c>
      <c r="M1" s="48" t="s">
        <v>17</v>
      </c>
      <c r="N1" s="48" t="s">
        <v>17</v>
      </c>
      <c r="O1" s="48" t="s">
        <v>17</v>
      </c>
      <c r="P1" s="48" t="s">
        <v>17</v>
      </c>
      <c r="Q1" s="48" t="s">
        <v>17</v>
      </c>
      <c r="R1" s="48" t="s">
        <v>17</v>
      </c>
      <c r="S1" s="48" t="s">
        <v>17</v>
      </c>
      <c r="T1" s="48" t="s">
        <v>17</v>
      </c>
      <c r="U1" s="48" t="s">
        <v>17</v>
      </c>
      <c r="V1" s="48" t="s">
        <v>17</v>
      </c>
      <c r="W1" s="48" t="s">
        <v>17</v>
      </c>
      <c r="X1" s="48" t="s">
        <v>7</v>
      </c>
      <c r="Y1" s="48" t="s">
        <v>7</v>
      </c>
      <c r="Z1" s="48" t="s">
        <v>17</v>
      </c>
      <c r="AA1" s="48" t="s">
        <v>17</v>
      </c>
      <c r="AB1" s="48" t="s">
        <v>17</v>
      </c>
      <c r="AG1" s="48" t="s">
        <v>7</v>
      </c>
      <c r="AH1" s="48" t="s">
        <v>7</v>
      </c>
    </row>
    <row r="2" spans="1:34">
      <c r="A2" s="48" t="s">
        <v>7</v>
      </c>
      <c r="D2" s="48" t="s">
        <v>18</v>
      </c>
      <c r="E2" s="48" t="s">
        <v>90</v>
      </c>
    </row>
    <row r="3" spans="1:34">
      <c r="A3" s="48" t="s">
        <v>7</v>
      </c>
      <c r="D3" s="48" t="s">
        <v>21</v>
      </c>
      <c r="E3" s="48" t="s">
        <v>19</v>
      </c>
      <c r="F3" s="48" t="s">
        <v>20</v>
      </c>
      <c r="G3" s="48" t="s">
        <v>22</v>
      </c>
      <c r="H3" s="48" t="s">
        <v>42</v>
      </c>
      <c r="I3" s="48" t="s">
        <v>23</v>
      </c>
    </row>
    <row r="4" spans="1:34">
      <c r="A4" s="48" t="s">
        <v>7</v>
      </c>
      <c r="C4" s="48" t="s">
        <v>11</v>
      </c>
      <c r="D4" s="48" t="s">
        <v>91</v>
      </c>
      <c r="E4" s="48" t="s">
        <v>92</v>
      </c>
      <c r="F4" s="48" t="s">
        <v>46</v>
      </c>
      <c r="G4" s="48" t="s">
        <v>24</v>
      </c>
      <c r="H4" s="48" t="s">
        <v>93</v>
      </c>
    </row>
    <row r="5" spans="1:34">
      <c r="A5" s="48" t="s">
        <v>7</v>
      </c>
      <c r="C5" s="48" t="s">
        <v>10</v>
      </c>
      <c r="D5" s="48" t="s">
        <v>94</v>
      </c>
      <c r="E5" s="48" t="s">
        <v>95</v>
      </c>
      <c r="F5" s="48" t="s">
        <v>47</v>
      </c>
      <c r="G5" s="48" t="s">
        <v>24</v>
      </c>
      <c r="H5" s="48" t="s">
        <v>93</v>
      </c>
      <c r="I5" s="48" t="s">
        <v>96</v>
      </c>
    </row>
    <row r="6" spans="1:34">
      <c r="A6" s="48" t="s">
        <v>7</v>
      </c>
      <c r="C6" s="48" t="s">
        <v>36</v>
      </c>
      <c r="D6" s="48" t="s">
        <v>97</v>
      </c>
      <c r="E6" s="48" t="s">
        <v>98</v>
      </c>
      <c r="F6" s="48" t="s">
        <v>47</v>
      </c>
      <c r="G6" s="48" t="s">
        <v>24</v>
      </c>
      <c r="H6" s="48" t="s">
        <v>93</v>
      </c>
      <c r="I6" s="48" t="s">
        <v>99</v>
      </c>
    </row>
    <row r="7" spans="1:34">
      <c r="A7" s="48" t="s">
        <v>7</v>
      </c>
    </row>
    <row r="8" spans="1:34">
      <c r="A8" s="48" t="s">
        <v>7</v>
      </c>
    </row>
    <row r="9" spans="1:34">
      <c r="A9" s="48" t="s">
        <v>7</v>
      </c>
    </row>
    <row r="10" spans="1:34">
      <c r="A10" s="48" t="s">
        <v>7</v>
      </c>
    </row>
    <row r="11" spans="1:34">
      <c r="A11" s="48" t="s">
        <v>7</v>
      </c>
      <c r="C11" s="48" t="s">
        <v>26</v>
      </c>
      <c r="E11" s="48" t="s">
        <v>100</v>
      </c>
    </row>
    <row r="12" spans="1:34">
      <c r="A12" s="48" t="s">
        <v>7</v>
      </c>
      <c r="C12" s="48" t="s">
        <v>27</v>
      </c>
      <c r="E12" s="48" t="s">
        <v>101</v>
      </c>
    </row>
    <row r="13" spans="1:34">
      <c r="A13" s="48" t="s">
        <v>7</v>
      </c>
      <c r="C13" s="48" t="s">
        <v>37</v>
      </c>
      <c r="E13" s="48" t="s">
        <v>102</v>
      </c>
    </row>
    <row r="14" spans="1:34">
      <c r="A14" s="48" t="s">
        <v>7</v>
      </c>
      <c r="C14" s="48" t="s">
        <v>35</v>
      </c>
      <c r="E14" s="48" t="s">
        <v>103</v>
      </c>
    </row>
    <row r="15" spans="1:34">
      <c r="A15" s="48" t="s">
        <v>7</v>
      </c>
      <c r="C15" s="48" t="s">
        <v>38</v>
      </c>
      <c r="E15" s="48" t="s">
        <v>104</v>
      </c>
    </row>
    <row r="16" spans="1:34">
      <c r="A16" s="48" t="s">
        <v>7</v>
      </c>
      <c r="C16" s="48" t="s">
        <v>39</v>
      </c>
      <c r="E16" s="48" t="s">
        <v>105</v>
      </c>
    </row>
    <row r="17" spans="1:41">
      <c r="A17" s="48" t="s">
        <v>7</v>
      </c>
    </row>
    <row r="18" spans="1:41">
      <c r="A18" s="48" t="s">
        <v>7</v>
      </c>
    </row>
    <row r="21" spans="1:41">
      <c r="K21" s="48" t="s">
        <v>40</v>
      </c>
    </row>
    <row r="23" spans="1:41">
      <c r="E23" s="48" t="s">
        <v>28</v>
      </c>
      <c r="K23" s="48" t="s">
        <v>54</v>
      </c>
      <c r="L23" s="48" t="s">
        <v>55</v>
      </c>
      <c r="M23" s="48" t="s">
        <v>14</v>
      </c>
      <c r="N23" s="48" t="s">
        <v>15</v>
      </c>
      <c r="O23" s="48" t="s">
        <v>29</v>
      </c>
      <c r="P23" s="48" t="s">
        <v>56</v>
      </c>
      <c r="Q23" s="48" t="s">
        <v>57</v>
      </c>
      <c r="R23" s="48" t="s">
        <v>30</v>
      </c>
      <c r="S23" s="48" t="s">
        <v>34</v>
      </c>
      <c r="T23" s="48" t="s">
        <v>32</v>
      </c>
      <c r="U23" s="48" t="s">
        <v>16</v>
      </c>
      <c r="V23" s="48" t="s">
        <v>58</v>
      </c>
      <c r="W23" s="48" t="s">
        <v>59</v>
      </c>
      <c r="X23" s="48" t="s">
        <v>33</v>
      </c>
      <c r="Y23" s="48" t="s">
        <v>12</v>
      </c>
      <c r="Z23" s="48" t="s">
        <v>31</v>
      </c>
      <c r="AA23" s="48" t="s">
        <v>13</v>
      </c>
      <c r="AB23" s="48" t="s">
        <v>49</v>
      </c>
      <c r="AC23" s="48" t="s">
        <v>50</v>
      </c>
      <c r="AD23" s="48" t="s">
        <v>60</v>
      </c>
      <c r="AE23" s="48" t="s">
        <v>61</v>
      </c>
      <c r="AF23" s="48" t="s">
        <v>62</v>
      </c>
      <c r="AG23" s="48" t="s">
        <v>63</v>
      </c>
      <c r="AH23" s="48" t="s">
        <v>64</v>
      </c>
      <c r="AI23" s="48" t="s">
        <v>65</v>
      </c>
      <c r="AJ23" s="48" t="s">
        <v>66</v>
      </c>
      <c r="AK23" s="48" t="s">
        <v>67</v>
      </c>
      <c r="AL23" s="48" t="s">
        <v>68</v>
      </c>
      <c r="AM23" s="48" t="s">
        <v>69</v>
      </c>
      <c r="AN23" s="48" t="s">
        <v>70</v>
      </c>
      <c r="AO23" s="48" t="s">
        <v>71</v>
      </c>
    </row>
    <row r="24" spans="1:41">
      <c r="B24" s="48" t="s">
        <v>106</v>
      </c>
      <c r="C24" s="48" t="s">
        <v>43</v>
      </c>
      <c r="E24" s="48" t="s">
        <v>107</v>
      </c>
      <c r="K24" s="48" t="s">
        <v>108</v>
      </c>
      <c r="L24" s="48" t="s">
        <v>109</v>
      </c>
      <c r="M24" s="48" t="s">
        <v>110</v>
      </c>
      <c r="N24" s="48" t="s">
        <v>111</v>
      </c>
      <c r="O24" s="48" t="s">
        <v>112</v>
      </c>
      <c r="P24" s="48" t="s">
        <v>113</v>
      </c>
      <c r="R24" s="48" t="s">
        <v>114</v>
      </c>
      <c r="S24" s="48" t="s">
        <v>115</v>
      </c>
      <c r="T24" s="48" t="s">
        <v>116</v>
      </c>
      <c r="U24" s="48" t="s">
        <v>117</v>
      </c>
      <c r="V24" s="48" t="s">
        <v>118</v>
      </c>
      <c r="W24" s="48" t="s">
        <v>119</v>
      </c>
      <c r="X24" s="48" t="s">
        <v>120</v>
      </c>
      <c r="Y24" s="48" t="s">
        <v>121</v>
      </c>
      <c r="Z24" s="48" t="s">
        <v>122</v>
      </c>
      <c r="AA24" s="48" t="s">
        <v>123</v>
      </c>
      <c r="AB24" s="48" t="s">
        <v>124</v>
      </c>
      <c r="AC24" s="48" t="s">
        <v>125</v>
      </c>
      <c r="AD24" s="48" t="s">
        <v>126</v>
      </c>
      <c r="AE24" s="48" t="s">
        <v>125</v>
      </c>
      <c r="AF24" s="48" t="s">
        <v>72</v>
      </c>
      <c r="AG24" s="48" t="s">
        <v>127</v>
      </c>
      <c r="AH24" s="48" t="s">
        <v>73</v>
      </c>
      <c r="AI24" s="48" t="s">
        <v>74</v>
      </c>
      <c r="AJ24" s="48" t="s">
        <v>128</v>
      </c>
      <c r="AK24" s="48" t="s">
        <v>129</v>
      </c>
      <c r="AL24" s="48" t="s">
        <v>130</v>
      </c>
      <c r="AM24" s="48" t="s">
        <v>131</v>
      </c>
      <c r="AN24" s="48" t="s">
        <v>132</v>
      </c>
      <c r="AO24" s="48" t="s">
        <v>133</v>
      </c>
    </row>
    <row r="25" spans="1:41">
      <c r="A25" s="48" t="s">
        <v>173</v>
      </c>
      <c r="B25" s="48" t="s">
        <v>134</v>
      </c>
      <c r="C25" s="48" t="s">
        <v>43</v>
      </c>
      <c r="E25" s="48" t="s">
        <v>177</v>
      </c>
      <c r="K25" s="48" t="s">
        <v>178</v>
      </c>
      <c r="L25" s="48" t="s">
        <v>179</v>
      </c>
      <c r="M25" s="48" t="s">
        <v>136</v>
      </c>
      <c r="N25" s="48" t="s">
        <v>137</v>
      </c>
      <c r="O25" s="48" t="s">
        <v>138</v>
      </c>
      <c r="P25" s="48" t="s">
        <v>180</v>
      </c>
      <c r="R25" s="48" t="s">
        <v>139</v>
      </c>
      <c r="S25" s="48" t="s">
        <v>140</v>
      </c>
      <c r="T25" s="48" t="s">
        <v>142</v>
      </c>
      <c r="U25" s="48" t="s">
        <v>181</v>
      </c>
      <c r="V25" s="48" t="s">
        <v>182</v>
      </c>
      <c r="W25" s="48" t="s">
        <v>183</v>
      </c>
      <c r="X25" s="48" t="s">
        <v>141</v>
      </c>
      <c r="Y25" s="48" t="s">
        <v>143</v>
      </c>
      <c r="Z25" s="48" t="s">
        <v>144</v>
      </c>
      <c r="AA25" s="48" t="s">
        <v>145</v>
      </c>
      <c r="AB25" s="48" t="s">
        <v>184</v>
      </c>
      <c r="AC25" s="48" t="s">
        <v>151</v>
      </c>
      <c r="AD25" s="48" t="s">
        <v>185</v>
      </c>
      <c r="AE25" s="48" t="s">
        <v>151</v>
      </c>
      <c r="AF25" s="48" t="s">
        <v>72</v>
      </c>
      <c r="AG25" s="48" t="s">
        <v>147</v>
      </c>
      <c r="AH25" s="48" t="s">
        <v>73</v>
      </c>
      <c r="AI25" s="48" t="s">
        <v>74</v>
      </c>
      <c r="AJ25" s="48" t="s">
        <v>186</v>
      </c>
      <c r="AK25" s="48" t="s">
        <v>187</v>
      </c>
      <c r="AL25" s="48" t="s">
        <v>188</v>
      </c>
      <c r="AM25" s="48" t="s">
        <v>189</v>
      </c>
      <c r="AN25" s="48" t="s">
        <v>190</v>
      </c>
      <c r="AO25" s="48" t="s">
        <v>191</v>
      </c>
    </row>
    <row r="26" spans="1:41">
      <c r="A26" s="48" t="s">
        <v>173</v>
      </c>
      <c r="B26" s="48" t="s">
        <v>152</v>
      </c>
      <c r="C26" s="48" t="s">
        <v>43</v>
      </c>
      <c r="E26" s="48" t="s">
        <v>192</v>
      </c>
      <c r="K26" s="48" t="s">
        <v>193</v>
      </c>
      <c r="L26" s="48" t="s">
        <v>194</v>
      </c>
      <c r="M26" s="48" t="s">
        <v>154</v>
      </c>
      <c r="N26" s="48" t="s">
        <v>155</v>
      </c>
      <c r="O26" s="48" t="s">
        <v>156</v>
      </c>
      <c r="P26" s="48" t="s">
        <v>195</v>
      </c>
      <c r="R26" s="48" t="s">
        <v>157</v>
      </c>
      <c r="S26" s="48" t="s">
        <v>158</v>
      </c>
      <c r="T26" s="48" t="s">
        <v>160</v>
      </c>
      <c r="U26" s="48" t="s">
        <v>196</v>
      </c>
      <c r="V26" s="48" t="s">
        <v>197</v>
      </c>
      <c r="W26" s="48" t="s">
        <v>198</v>
      </c>
      <c r="X26" s="48" t="s">
        <v>159</v>
      </c>
      <c r="Y26" s="48" t="s">
        <v>161</v>
      </c>
      <c r="Z26" s="48" t="s">
        <v>162</v>
      </c>
      <c r="AA26" s="48" t="s">
        <v>163</v>
      </c>
      <c r="AB26" s="48" t="s">
        <v>199</v>
      </c>
      <c r="AC26" s="48" t="s">
        <v>169</v>
      </c>
      <c r="AD26" s="48" t="s">
        <v>200</v>
      </c>
      <c r="AE26" s="48" t="s">
        <v>169</v>
      </c>
      <c r="AF26" s="48" t="s">
        <v>72</v>
      </c>
      <c r="AG26" s="48" t="s">
        <v>165</v>
      </c>
      <c r="AH26" s="48" t="s">
        <v>73</v>
      </c>
      <c r="AI26" s="48" t="s">
        <v>74</v>
      </c>
      <c r="AJ26" s="48" t="s">
        <v>201</v>
      </c>
      <c r="AK26" s="48" t="s">
        <v>202</v>
      </c>
      <c r="AL26" s="48" t="s">
        <v>203</v>
      </c>
      <c r="AM26" s="48" t="s">
        <v>204</v>
      </c>
      <c r="AN26" s="48" t="s">
        <v>205</v>
      </c>
      <c r="AO26" s="48" t="s">
        <v>206</v>
      </c>
    </row>
    <row r="27" spans="1:41">
      <c r="A27" s="48" t="s">
        <v>173</v>
      </c>
      <c r="B27" s="48" t="s">
        <v>207</v>
      </c>
      <c r="C27" s="48" t="s">
        <v>43</v>
      </c>
      <c r="E27" s="48" t="s">
        <v>208</v>
      </c>
      <c r="K27" s="48" t="s">
        <v>209</v>
      </c>
      <c r="L27" s="48" t="s">
        <v>210</v>
      </c>
      <c r="M27" s="48" t="s">
        <v>211</v>
      </c>
      <c r="N27" s="48" t="s">
        <v>212</v>
      </c>
      <c r="O27" s="48" t="s">
        <v>213</v>
      </c>
      <c r="P27" s="48" t="s">
        <v>214</v>
      </c>
      <c r="R27" s="48" t="s">
        <v>215</v>
      </c>
      <c r="S27" s="48" t="s">
        <v>216</v>
      </c>
      <c r="T27" s="48" t="s">
        <v>217</v>
      </c>
      <c r="U27" s="48" t="s">
        <v>218</v>
      </c>
      <c r="V27" s="48" t="s">
        <v>219</v>
      </c>
      <c r="W27" s="48" t="s">
        <v>220</v>
      </c>
      <c r="X27" s="48" t="s">
        <v>221</v>
      </c>
      <c r="Y27" s="48" t="s">
        <v>222</v>
      </c>
      <c r="Z27" s="48" t="s">
        <v>223</v>
      </c>
      <c r="AA27" s="48" t="s">
        <v>224</v>
      </c>
      <c r="AB27" s="48" t="s">
        <v>225</v>
      </c>
      <c r="AC27" s="48" t="s">
        <v>226</v>
      </c>
      <c r="AD27" s="48" t="s">
        <v>227</v>
      </c>
      <c r="AE27" s="48" t="s">
        <v>226</v>
      </c>
      <c r="AF27" s="48" t="s">
        <v>72</v>
      </c>
      <c r="AG27" s="48" t="s">
        <v>228</v>
      </c>
      <c r="AH27" s="48" t="s">
        <v>73</v>
      </c>
      <c r="AI27" s="48" t="s">
        <v>74</v>
      </c>
      <c r="AJ27" s="48" t="s">
        <v>229</v>
      </c>
      <c r="AK27" s="48" t="s">
        <v>230</v>
      </c>
      <c r="AL27" s="48" t="s">
        <v>231</v>
      </c>
      <c r="AM27" s="48" t="s">
        <v>232</v>
      </c>
      <c r="AN27" s="48" t="s">
        <v>233</v>
      </c>
      <c r="AO27" s="48" t="s">
        <v>234</v>
      </c>
    </row>
    <row r="28" spans="1:41">
      <c r="A28" s="48" t="s">
        <v>173</v>
      </c>
      <c r="B28" s="48" t="s">
        <v>235</v>
      </c>
      <c r="C28" s="48" t="s">
        <v>43</v>
      </c>
      <c r="E28" s="48" t="s">
        <v>236</v>
      </c>
      <c r="K28" s="48" t="s">
        <v>237</v>
      </c>
      <c r="L28" s="48" t="s">
        <v>238</v>
      </c>
      <c r="M28" s="48" t="s">
        <v>239</v>
      </c>
      <c r="N28" s="48" t="s">
        <v>240</v>
      </c>
      <c r="O28" s="48" t="s">
        <v>241</v>
      </c>
      <c r="P28" s="48" t="s">
        <v>242</v>
      </c>
      <c r="R28" s="48" t="s">
        <v>243</v>
      </c>
      <c r="S28" s="48" t="s">
        <v>244</v>
      </c>
      <c r="T28" s="48" t="s">
        <v>245</v>
      </c>
      <c r="U28" s="48" t="s">
        <v>246</v>
      </c>
      <c r="V28" s="48" t="s">
        <v>247</v>
      </c>
      <c r="W28" s="48" t="s">
        <v>248</v>
      </c>
      <c r="X28" s="48" t="s">
        <v>249</v>
      </c>
      <c r="Y28" s="48" t="s">
        <v>250</v>
      </c>
      <c r="Z28" s="48" t="s">
        <v>251</v>
      </c>
      <c r="AA28" s="48" t="s">
        <v>252</v>
      </c>
      <c r="AB28" s="48" t="s">
        <v>253</v>
      </c>
      <c r="AC28" s="48" t="s">
        <v>254</v>
      </c>
      <c r="AD28" s="48" t="s">
        <v>255</v>
      </c>
      <c r="AE28" s="48" t="s">
        <v>254</v>
      </c>
      <c r="AF28" s="48" t="s">
        <v>72</v>
      </c>
      <c r="AG28" s="48" t="s">
        <v>256</v>
      </c>
      <c r="AH28" s="48" t="s">
        <v>73</v>
      </c>
      <c r="AI28" s="48" t="s">
        <v>74</v>
      </c>
      <c r="AJ28" s="48" t="s">
        <v>257</v>
      </c>
      <c r="AK28" s="48" t="s">
        <v>258</v>
      </c>
      <c r="AL28" s="48" t="s">
        <v>259</v>
      </c>
      <c r="AM28" s="48" t="s">
        <v>260</v>
      </c>
      <c r="AN28" s="48" t="s">
        <v>261</v>
      </c>
      <c r="AO28" s="48" t="s">
        <v>262</v>
      </c>
    </row>
    <row r="29" spans="1:41">
      <c r="A29" s="48" t="s">
        <v>173</v>
      </c>
      <c r="B29" s="48" t="s">
        <v>263</v>
      </c>
      <c r="C29" s="48" t="s">
        <v>43</v>
      </c>
      <c r="E29" s="48" t="s">
        <v>264</v>
      </c>
      <c r="K29" s="48" t="s">
        <v>265</v>
      </c>
      <c r="L29" s="48" t="s">
        <v>266</v>
      </c>
      <c r="M29" s="48" t="s">
        <v>267</v>
      </c>
      <c r="N29" s="48" t="s">
        <v>268</v>
      </c>
      <c r="O29" s="48" t="s">
        <v>269</v>
      </c>
      <c r="P29" s="48" t="s">
        <v>270</v>
      </c>
      <c r="R29" s="48" t="s">
        <v>271</v>
      </c>
      <c r="S29" s="48" t="s">
        <v>272</v>
      </c>
      <c r="T29" s="48" t="s">
        <v>273</v>
      </c>
      <c r="U29" s="48" t="s">
        <v>274</v>
      </c>
      <c r="V29" s="48" t="s">
        <v>275</v>
      </c>
      <c r="W29" s="48" t="s">
        <v>276</v>
      </c>
      <c r="X29" s="48" t="s">
        <v>277</v>
      </c>
      <c r="Y29" s="48" t="s">
        <v>278</v>
      </c>
      <c r="Z29" s="48" t="s">
        <v>279</v>
      </c>
      <c r="AA29" s="48" t="s">
        <v>280</v>
      </c>
      <c r="AB29" s="48" t="s">
        <v>281</v>
      </c>
      <c r="AC29" s="48" t="s">
        <v>282</v>
      </c>
      <c r="AD29" s="48" t="s">
        <v>283</v>
      </c>
      <c r="AE29" s="48" t="s">
        <v>282</v>
      </c>
      <c r="AF29" s="48" t="s">
        <v>72</v>
      </c>
      <c r="AG29" s="48" t="s">
        <v>284</v>
      </c>
      <c r="AH29" s="48" t="s">
        <v>73</v>
      </c>
      <c r="AI29" s="48" t="s">
        <v>74</v>
      </c>
      <c r="AJ29" s="48" t="s">
        <v>285</v>
      </c>
      <c r="AK29" s="48" t="s">
        <v>286</v>
      </c>
      <c r="AL29" s="48" t="s">
        <v>287</v>
      </c>
      <c r="AM29" s="48" t="s">
        <v>288</v>
      </c>
      <c r="AN29" s="48" t="s">
        <v>289</v>
      </c>
      <c r="AO29" s="48" t="s">
        <v>290</v>
      </c>
    </row>
    <row r="30" spans="1:41">
      <c r="A30" s="48" t="s">
        <v>173</v>
      </c>
      <c r="B30" s="48" t="s">
        <v>291</v>
      </c>
      <c r="C30" s="48" t="s">
        <v>43</v>
      </c>
      <c r="E30" s="48" t="s">
        <v>292</v>
      </c>
      <c r="K30" s="48" t="s">
        <v>293</v>
      </c>
      <c r="L30" s="48" t="s">
        <v>294</v>
      </c>
      <c r="M30" s="48" t="s">
        <v>295</v>
      </c>
      <c r="N30" s="48" t="s">
        <v>296</v>
      </c>
      <c r="O30" s="48" t="s">
        <v>297</v>
      </c>
      <c r="P30" s="48" t="s">
        <v>298</v>
      </c>
      <c r="R30" s="48" t="s">
        <v>299</v>
      </c>
      <c r="S30" s="48" t="s">
        <v>300</v>
      </c>
      <c r="T30" s="48" t="s">
        <v>301</v>
      </c>
      <c r="U30" s="48" t="s">
        <v>302</v>
      </c>
      <c r="V30" s="48" t="s">
        <v>303</v>
      </c>
      <c r="W30" s="48" t="s">
        <v>304</v>
      </c>
      <c r="X30" s="48" t="s">
        <v>305</v>
      </c>
      <c r="Y30" s="48" t="s">
        <v>306</v>
      </c>
      <c r="Z30" s="48" t="s">
        <v>307</v>
      </c>
      <c r="AA30" s="48" t="s">
        <v>308</v>
      </c>
      <c r="AB30" s="48" t="s">
        <v>309</v>
      </c>
      <c r="AC30" s="48" t="s">
        <v>310</v>
      </c>
      <c r="AD30" s="48" t="s">
        <v>311</v>
      </c>
      <c r="AE30" s="48" t="s">
        <v>310</v>
      </c>
      <c r="AF30" s="48" t="s">
        <v>72</v>
      </c>
      <c r="AG30" s="48" t="s">
        <v>312</v>
      </c>
      <c r="AH30" s="48" t="s">
        <v>73</v>
      </c>
      <c r="AI30" s="48" t="s">
        <v>74</v>
      </c>
      <c r="AJ30" s="48" t="s">
        <v>313</v>
      </c>
      <c r="AK30" s="48" t="s">
        <v>314</v>
      </c>
      <c r="AL30" s="48" t="s">
        <v>315</v>
      </c>
      <c r="AM30" s="48" t="s">
        <v>316</v>
      </c>
      <c r="AN30" s="48" t="s">
        <v>317</v>
      </c>
      <c r="AO30" s="48" t="s">
        <v>318</v>
      </c>
    </row>
    <row r="31" spans="1:41">
      <c r="A31" s="48" t="s">
        <v>173</v>
      </c>
      <c r="B31" s="48" t="s">
        <v>319</v>
      </c>
      <c r="C31" s="48" t="s">
        <v>43</v>
      </c>
      <c r="E31" s="48" t="s">
        <v>320</v>
      </c>
      <c r="K31" s="48" t="s">
        <v>321</v>
      </c>
      <c r="L31" s="48" t="s">
        <v>322</v>
      </c>
      <c r="M31" s="48" t="s">
        <v>323</v>
      </c>
      <c r="N31" s="48" t="s">
        <v>324</v>
      </c>
      <c r="O31" s="48" t="s">
        <v>325</v>
      </c>
      <c r="P31" s="48" t="s">
        <v>326</v>
      </c>
      <c r="R31" s="48" t="s">
        <v>327</v>
      </c>
      <c r="S31" s="48" t="s">
        <v>328</v>
      </c>
      <c r="T31" s="48" t="s">
        <v>329</v>
      </c>
      <c r="U31" s="48" t="s">
        <v>330</v>
      </c>
      <c r="V31" s="48" t="s">
        <v>331</v>
      </c>
      <c r="W31" s="48" t="s">
        <v>332</v>
      </c>
      <c r="X31" s="48" t="s">
        <v>333</v>
      </c>
      <c r="Y31" s="48" t="s">
        <v>334</v>
      </c>
      <c r="Z31" s="48" t="s">
        <v>335</v>
      </c>
      <c r="AA31" s="48" t="s">
        <v>336</v>
      </c>
      <c r="AB31" s="48" t="s">
        <v>337</v>
      </c>
      <c r="AC31" s="48" t="s">
        <v>338</v>
      </c>
      <c r="AD31" s="48" t="s">
        <v>339</v>
      </c>
      <c r="AE31" s="48" t="s">
        <v>338</v>
      </c>
      <c r="AF31" s="48" t="s">
        <v>72</v>
      </c>
      <c r="AG31" s="48" t="s">
        <v>340</v>
      </c>
      <c r="AH31" s="48" t="s">
        <v>73</v>
      </c>
      <c r="AI31" s="48" t="s">
        <v>74</v>
      </c>
      <c r="AJ31" s="48" t="s">
        <v>341</v>
      </c>
      <c r="AK31" s="48" t="s">
        <v>342</v>
      </c>
      <c r="AL31" s="48" t="s">
        <v>343</v>
      </c>
      <c r="AM31" s="48" t="s">
        <v>344</v>
      </c>
      <c r="AN31" s="48" t="s">
        <v>345</v>
      </c>
      <c r="AO31" s="48" t="s">
        <v>346</v>
      </c>
    </row>
    <row r="32" spans="1:41">
      <c r="A32" s="48" t="s">
        <v>173</v>
      </c>
      <c r="B32" s="48" t="s">
        <v>347</v>
      </c>
      <c r="C32" s="48" t="s">
        <v>43</v>
      </c>
      <c r="E32" s="48" t="s">
        <v>348</v>
      </c>
      <c r="K32" s="48" t="s">
        <v>349</v>
      </c>
      <c r="L32" s="48" t="s">
        <v>350</v>
      </c>
      <c r="M32" s="48" t="s">
        <v>351</v>
      </c>
      <c r="N32" s="48" t="s">
        <v>352</v>
      </c>
      <c r="O32" s="48" t="s">
        <v>353</v>
      </c>
      <c r="P32" s="48" t="s">
        <v>354</v>
      </c>
      <c r="R32" s="48" t="s">
        <v>355</v>
      </c>
      <c r="S32" s="48" t="s">
        <v>356</v>
      </c>
      <c r="T32" s="48" t="s">
        <v>357</v>
      </c>
      <c r="U32" s="48" t="s">
        <v>358</v>
      </c>
      <c r="V32" s="48" t="s">
        <v>359</v>
      </c>
      <c r="W32" s="48" t="s">
        <v>360</v>
      </c>
      <c r="X32" s="48" t="s">
        <v>361</v>
      </c>
      <c r="Y32" s="48" t="s">
        <v>362</v>
      </c>
      <c r="Z32" s="48" t="s">
        <v>363</v>
      </c>
      <c r="AA32" s="48" t="s">
        <v>364</v>
      </c>
      <c r="AB32" s="48" t="s">
        <v>365</v>
      </c>
      <c r="AC32" s="48" t="s">
        <v>366</v>
      </c>
      <c r="AD32" s="48" t="s">
        <v>367</v>
      </c>
      <c r="AE32" s="48" t="s">
        <v>366</v>
      </c>
      <c r="AF32" s="48" t="s">
        <v>72</v>
      </c>
      <c r="AG32" s="48" t="s">
        <v>368</v>
      </c>
      <c r="AH32" s="48" t="s">
        <v>73</v>
      </c>
      <c r="AI32" s="48" t="s">
        <v>74</v>
      </c>
      <c r="AJ32" s="48" t="s">
        <v>369</v>
      </c>
      <c r="AK32" s="48" t="s">
        <v>370</v>
      </c>
      <c r="AL32" s="48" t="s">
        <v>371</v>
      </c>
      <c r="AM32" s="48" t="s">
        <v>372</v>
      </c>
      <c r="AN32" s="48" t="s">
        <v>373</v>
      </c>
      <c r="AO32" s="48" t="s">
        <v>374</v>
      </c>
    </row>
    <row r="33" spans="1:41">
      <c r="A33" s="48" t="s">
        <v>173</v>
      </c>
      <c r="B33" s="48" t="s">
        <v>375</v>
      </c>
      <c r="C33" s="48" t="s">
        <v>43</v>
      </c>
      <c r="E33" s="48" t="s">
        <v>376</v>
      </c>
      <c r="K33" s="48" t="s">
        <v>377</v>
      </c>
      <c r="L33" s="48" t="s">
        <v>378</v>
      </c>
      <c r="M33" s="48" t="s">
        <v>379</v>
      </c>
      <c r="N33" s="48" t="s">
        <v>380</v>
      </c>
      <c r="O33" s="48" t="s">
        <v>381</v>
      </c>
      <c r="P33" s="48" t="s">
        <v>382</v>
      </c>
      <c r="R33" s="48" t="s">
        <v>383</v>
      </c>
      <c r="S33" s="48" t="s">
        <v>384</v>
      </c>
      <c r="T33" s="48" t="s">
        <v>385</v>
      </c>
      <c r="U33" s="48" t="s">
        <v>386</v>
      </c>
      <c r="V33" s="48" t="s">
        <v>387</v>
      </c>
      <c r="W33" s="48" t="s">
        <v>388</v>
      </c>
      <c r="X33" s="48" t="s">
        <v>389</v>
      </c>
      <c r="Y33" s="48" t="s">
        <v>390</v>
      </c>
      <c r="Z33" s="48" t="s">
        <v>391</v>
      </c>
      <c r="AA33" s="48" t="s">
        <v>392</v>
      </c>
      <c r="AB33" s="48" t="s">
        <v>393</v>
      </c>
      <c r="AC33" s="48" t="s">
        <v>394</v>
      </c>
      <c r="AD33" s="48" t="s">
        <v>395</v>
      </c>
      <c r="AE33" s="48" t="s">
        <v>394</v>
      </c>
      <c r="AF33" s="48" t="s">
        <v>72</v>
      </c>
      <c r="AG33" s="48" t="s">
        <v>396</v>
      </c>
      <c r="AH33" s="48" t="s">
        <v>73</v>
      </c>
      <c r="AI33" s="48" t="s">
        <v>74</v>
      </c>
      <c r="AJ33" s="48" t="s">
        <v>397</v>
      </c>
      <c r="AK33" s="48" t="s">
        <v>398</v>
      </c>
      <c r="AL33" s="48" t="s">
        <v>399</v>
      </c>
      <c r="AM33" s="48" t="s">
        <v>400</v>
      </c>
      <c r="AN33" s="48" t="s">
        <v>401</v>
      </c>
      <c r="AO33" s="48" t="s">
        <v>402</v>
      </c>
    </row>
    <row r="34" spans="1:41">
      <c r="A34" s="48" t="s">
        <v>173</v>
      </c>
      <c r="B34" s="48" t="s">
        <v>403</v>
      </c>
      <c r="C34" s="48" t="s">
        <v>43</v>
      </c>
      <c r="E34" s="48" t="s">
        <v>404</v>
      </c>
      <c r="K34" s="48" t="s">
        <v>405</v>
      </c>
      <c r="L34" s="48" t="s">
        <v>406</v>
      </c>
      <c r="M34" s="48" t="s">
        <v>407</v>
      </c>
      <c r="N34" s="48" t="s">
        <v>408</v>
      </c>
      <c r="O34" s="48" t="s">
        <v>409</v>
      </c>
      <c r="P34" s="48" t="s">
        <v>410</v>
      </c>
      <c r="R34" s="48" t="s">
        <v>411</v>
      </c>
      <c r="S34" s="48" t="s">
        <v>412</v>
      </c>
      <c r="T34" s="48" t="s">
        <v>413</v>
      </c>
      <c r="U34" s="48" t="s">
        <v>414</v>
      </c>
      <c r="V34" s="48" t="s">
        <v>415</v>
      </c>
      <c r="W34" s="48" t="s">
        <v>416</v>
      </c>
      <c r="X34" s="48" t="s">
        <v>417</v>
      </c>
      <c r="Y34" s="48" t="s">
        <v>418</v>
      </c>
      <c r="Z34" s="48" t="s">
        <v>419</v>
      </c>
      <c r="AA34" s="48" t="s">
        <v>420</v>
      </c>
      <c r="AB34" s="48" t="s">
        <v>421</v>
      </c>
      <c r="AC34" s="48" t="s">
        <v>422</v>
      </c>
      <c r="AD34" s="48" t="s">
        <v>423</v>
      </c>
      <c r="AE34" s="48" t="s">
        <v>422</v>
      </c>
      <c r="AF34" s="48" t="s">
        <v>72</v>
      </c>
      <c r="AG34" s="48" t="s">
        <v>424</v>
      </c>
      <c r="AH34" s="48" t="s">
        <v>73</v>
      </c>
      <c r="AI34" s="48" t="s">
        <v>74</v>
      </c>
      <c r="AJ34" s="48" t="s">
        <v>425</v>
      </c>
      <c r="AK34" s="48" t="s">
        <v>426</v>
      </c>
      <c r="AL34" s="48" t="s">
        <v>427</v>
      </c>
      <c r="AM34" s="48" t="s">
        <v>428</v>
      </c>
      <c r="AN34" s="48" t="s">
        <v>429</v>
      </c>
      <c r="AO34" s="48" t="s">
        <v>430</v>
      </c>
    </row>
    <row r="35" spans="1:41">
      <c r="A35" s="48" t="s">
        <v>173</v>
      </c>
      <c r="B35" s="48" t="s">
        <v>431</v>
      </c>
      <c r="C35" s="48" t="s">
        <v>43</v>
      </c>
      <c r="E35" s="48" t="s">
        <v>432</v>
      </c>
      <c r="K35" s="48" t="s">
        <v>433</v>
      </c>
      <c r="L35" s="48" t="s">
        <v>434</v>
      </c>
      <c r="M35" s="48" t="s">
        <v>435</v>
      </c>
      <c r="N35" s="48" t="s">
        <v>436</v>
      </c>
      <c r="O35" s="48" t="s">
        <v>437</v>
      </c>
      <c r="P35" s="48" t="s">
        <v>438</v>
      </c>
      <c r="R35" s="48" t="s">
        <v>439</v>
      </c>
      <c r="S35" s="48" t="s">
        <v>440</v>
      </c>
      <c r="T35" s="48" t="s">
        <v>441</v>
      </c>
      <c r="U35" s="48" t="s">
        <v>442</v>
      </c>
      <c r="V35" s="48" t="s">
        <v>443</v>
      </c>
      <c r="W35" s="48" t="s">
        <v>444</v>
      </c>
      <c r="X35" s="48" t="s">
        <v>445</v>
      </c>
      <c r="Y35" s="48" t="s">
        <v>446</v>
      </c>
      <c r="Z35" s="48" t="s">
        <v>447</v>
      </c>
      <c r="AA35" s="48" t="s">
        <v>448</v>
      </c>
      <c r="AB35" s="48" t="s">
        <v>449</v>
      </c>
      <c r="AC35" s="48" t="s">
        <v>450</v>
      </c>
      <c r="AD35" s="48" t="s">
        <v>451</v>
      </c>
      <c r="AE35" s="48" t="s">
        <v>450</v>
      </c>
      <c r="AF35" s="48" t="s">
        <v>72</v>
      </c>
      <c r="AG35" s="48" t="s">
        <v>452</v>
      </c>
      <c r="AH35" s="48" t="s">
        <v>73</v>
      </c>
      <c r="AI35" s="48" t="s">
        <v>74</v>
      </c>
      <c r="AJ35" s="48" t="s">
        <v>453</v>
      </c>
      <c r="AK35" s="48" t="s">
        <v>454</v>
      </c>
      <c r="AL35" s="48" t="s">
        <v>455</v>
      </c>
      <c r="AM35" s="48" t="s">
        <v>456</v>
      </c>
      <c r="AN35" s="48" t="s">
        <v>457</v>
      </c>
      <c r="AO35" s="48" t="s">
        <v>458</v>
      </c>
    </row>
    <row r="36" spans="1:41">
      <c r="A36" s="48" t="s">
        <v>173</v>
      </c>
      <c r="B36" s="48" t="s">
        <v>459</v>
      </c>
      <c r="C36" s="48" t="s">
        <v>43</v>
      </c>
      <c r="E36" s="48" t="s">
        <v>460</v>
      </c>
      <c r="K36" s="48" t="s">
        <v>461</v>
      </c>
      <c r="L36" s="48" t="s">
        <v>462</v>
      </c>
      <c r="M36" s="48" t="s">
        <v>463</v>
      </c>
      <c r="N36" s="48" t="s">
        <v>464</v>
      </c>
      <c r="O36" s="48" t="s">
        <v>465</v>
      </c>
      <c r="P36" s="48" t="s">
        <v>466</v>
      </c>
      <c r="R36" s="48" t="s">
        <v>467</v>
      </c>
      <c r="S36" s="48" t="s">
        <v>468</v>
      </c>
      <c r="T36" s="48" t="s">
        <v>469</v>
      </c>
      <c r="U36" s="48" t="s">
        <v>470</v>
      </c>
      <c r="V36" s="48" t="s">
        <v>471</v>
      </c>
      <c r="W36" s="48" t="s">
        <v>472</v>
      </c>
      <c r="X36" s="48" t="s">
        <v>473</v>
      </c>
      <c r="Y36" s="48" t="s">
        <v>474</v>
      </c>
      <c r="Z36" s="48" t="s">
        <v>475</v>
      </c>
      <c r="AA36" s="48" t="s">
        <v>476</v>
      </c>
      <c r="AB36" s="48" t="s">
        <v>477</v>
      </c>
      <c r="AC36" s="48" t="s">
        <v>478</v>
      </c>
      <c r="AD36" s="48" t="s">
        <v>479</v>
      </c>
      <c r="AE36" s="48" t="s">
        <v>478</v>
      </c>
      <c r="AF36" s="48" t="s">
        <v>72</v>
      </c>
      <c r="AG36" s="48" t="s">
        <v>480</v>
      </c>
      <c r="AH36" s="48" t="s">
        <v>73</v>
      </c>
      <c r="AI36" s="48" t="s">
        <v>74</v>
      </c>
      <c r="AJ36" s="48" t="s">
        <v>481</v>
      </c>
      <c r="AK36" s="48" t="s">
        <v>482</v>
      </c>
      <c r="AL36" s="48" t="s">
        <v>483</v>
      </c>
      <c r="AM36" s="48" t="s">
        <v>484</v>
      </c>
      <c r="AN36" s="48" t="s">
        <v>485</v>
      </c>
      <c r="AO36" s="48" t="s">
        <v>486</v>
      </c>
    </row>
    <row r="37" spans="1:41">
      <c r="A37" s="48" t="s">
        <v>173</v>
      </c>
      <c r="B37" s="48" t="s">
        <v>487</v>
      </c>
      <c r="C37" s="48" t="s">
        <v>43</v>
      </c>
      <c r="E37" s="48" t="s">
        <v>488</v>
      </c>
      <c r="K37" s="48" t="s">
        <v>489</v>
      </c>
      <c r="L37" s="48" t="s">
        <v>490</v>
      </c>
      <c r="M37" s="48" t="s">
        <v>491</v>
      </c>
      <c r="N37" s="48" t="s">
        <v>492</v>
      </c>
      <c r="O37" s="48" t="s">
        <v>493</v>
      </c>
      <c r="P37" s="48" t="s">
        <v>494</v>
      </c>
      <c r="R37" s="48" t="s">
        <v>495</v>
      </c>
      <c r="S37" s="48" t="s">
        <v>496</v>
      </c>
      <c r="T37" s="48" t="s">
        <v>497</v>
      </c>
      <c r="U37" s="48" t="s">
        <v>498</v>
      </c>
      <c r="V37" s="48" t="s">
        <v>499</v>
      </c>
      <c r="W37" s="48" t="s">
        <v>500</v>
      </c>
      <c r="X37" s="48" t="s">
        <v>501</v>
      </c>
      <c r="Y37" s="48" t="s">
        <v>502</v>
      </c>
      <c r="Z37" s="48" t="s">
        <v>503</v>
      </c>
      <c r="AA37" s="48" t="s">
        <v>504</v>
      </c>
      <c r="AB37" s="48" t="s">
        <v>505</v>
      </c>
      <c r="AC37" s="48" t="s">
        <v>506</v>
      </c>
      <c r="AD37" s="48" t="s">
        <v>507</v>
      </c>
      <c r="AE37" s="48" t="s">
        <v>506</v>
      </c>
      <c r="AF37" s="48" t="s">
        <v>72</v>
      </c>
      <c r="AG37" s="48" t="s">
        <v>508</v>
      </c>
      <c r="AH37" s="48" t="s">
        <v>73</v>
      </c>
      <c r="AI37" s="48" t="s">
        <v>74</v>
      </c>
      <c r="AJ37" s="48" t="s">
        <v>509</v>
      </c>
      <c r="AK37" s="48" t="s">
        <v>510</v>
      </c>
      <c r="AL37" s="48" t="s">
        <v>511</v>
      </c>
      <c r="AM37" s="48" t="s">
        <v>512</v>
      </c>
      <c r="AN37" s="48" t="s">
        <v>513</v>
      </c>
      <c r="AO37" s="48" t="s">
        <v>514</v>
      </c>
    </row>
    <row r="38" spans="1:41">
      <c r="A38" s="48" t="s">
        <v>173</v>
      </c>
      <c r="B38" s="48" t="s">
        <v>515</v>
      </c>
      <c r="C38" s="48" t="s">
        <v>43</v>
      </c>
      <c r="E38" s="48" t="s">
        <v>516</v>
      </c>
      <c r="K38" s="48" t="s">
        <v>517</v>
      </c>
      <c r="L38" s="48" t="s">
        <v>518</v>
      </c>
      <c r="M38" s="48" t="s">
        <v>519</v>
      </c>
      <c r="N38" s="48" t="s">
        <v>520</v>
      </c>
      <c r="O38" s="48" t="s">
        <v>521</v>
      </c>
      <c r="P38" s="48" t="s">
        <v>522</v>
      </c>
      <c r="R38" s="48" t="s">
        <v>523</v>
      </c>
      <c r="S38" s="48" t="s">
        <v>524</v>
      </c>
      <c r="T38" s="48" t="s">
        <v>525</v>
      </c>
      <c r="U38" s="48" t="s">
        <v>526</v>
      </c>
      <c r="V38" s="48" t="s">
        <v>527</v>
      </c>
      <c r="W38" s="48" t="s">
        <v>528</v>
      </c>
      <c r="X38" s="48" t="s">
        <v>529</v>
      </c>
      <c r="Y38" s="48" t="s">
        <v>530</v>
      </c>
      <c r="Z38" s="48" t="s">
        <v>531</v>
      </c>
      <c r="AA38" s="48" t="s">
        <v>532</v>
      </c>
      <c r="AB38" s="48" t="s">
        <v>533</v>
      </c>
      <c r="AC38" s="48" t="s">
        <v>534</v>
      </c>
      <c r="AD38" s="48" t="s">
        <v>535</v>
      </c>
      <c r="AE38" s="48" t="s">
        <v>534</v>
      </c>
      <c r="AF38" s="48" t="s">
        <v>72</v>
      </c>
      <c r="AG38" s="48" t="s">
        <v>536</v>
      </c>
      <c r="AH38" s="48" t="s">
        <v>73</v>
      </c>
      <c r="AI38" s="48" t="s">
        <v>74</v>
      </c>
      <c r="AJ38" s="48" t="s">
        <v>537</v>
      </c>
      <c r="AK38" s="48" t="s">
        <v>538</v>
      </c>
      <c r="AL38" s="48" t="s">
        <v>539</v>
      </c>
      <c r="AM38" s="48" t="s">
        <v>540</v>
      </c>
      <c r="AN38" s="48" t="s">
        <v>541</v>
      </c>
      <c r="AO38" s="48" t="s">
        <v>542</v>
      </c>
    </row>
    <row r="39" spans="1:41">
      <c r="B39" s="48" t="s">
        <v>543</v>
      </c>
      <c r="C39" s="48" t="s">
        <v>44</v>
      </c>
      <c r="E39" s="48" t="s">
        <v>135</v>
      </c>
      <c r="K39" s="48" t="s">
        <v>544</v>
      </c>
      <c r="L39" s="48" t="s">
        <v>545</v>
      </c>
      <c r="M39" s="48" t="s">
        <v>546</v>
      </c>
      <c r="N39" s="48" t="s">
        <v>547</v>
      </c>
      <c r="O39" s="48" t="s">
        <v>548</v>
      </c>
      <c r="P39" s="48" t="s">
        <v>549</v>
      </c>
      <c r="Q39" s="48" t="s">
        <v>550</v>
      </c>
      <c r="S39" s="48" t="s">
        <v>549</v>
      </c>
      <c r="T39" s="48" t="s">
        <v>551</v>
      </c>
      <c r="U39" s="48" t="s">
        <v>552</v>
      </c>
      <c r="V39" s="48" t="s">
        <v>553</v>
      </c>
      <c r="W39" s="48" t="s">
        <v>554</v>
      </c>
      <c r="X39" s="48" t="s">
        <v>555</v>
      </c>
      <c r="Y39" s="48" t="s">
        <v>556</v>
      </c>
      <c r="Z39" s="48" t="s">
        <v>557</v>
      </c>
      <c r="AA39" s="48" t="s">
        <v>558</v>
      </c>
      <c r="AB39" s="48" t="s">
        <v>559</v>
      </c>
    </row>
    <row r="40" spans="1:41">
      <c r="B40" s="48" t="s">
        <v>560</v>
      </c>
      <c r="C40" s="48" t="s">
        <v>45</v>
      </c>
      <c r="E40" s="48" t="s">
        <v>153</v>
      </c>
      <c r="K40" s="48" t="s">
        <v>561</v>
      </c>
      <c r="L40" s="48" t="s">
        <v>562</v>
      </c>
      <c r="M40" s="48" t="s">
        <v>563</v>
      </c>
      <c r="N40" s="48" t="s">
        <v>564</v>
      </c>
      <c r="O40" s="48" t="s">
        <v>565</v>
      </c>
      <c r="P40" s="48" t="s">
        <v>566</v>
      </c>
      <c r="Q40" s="48" t="s">
        <v>567</v>
      </c>
      <c r="S40" s="48" t="s">
        <v>566</v>
      </c>
      <c r="T40" s="48" t="s">
        <v>568</v>
      </c>
      <c r="U40" s="48" t="s">
        <v>569</v>
      </c>
      <c r="V40" s="48" t="s">
        <v>570</v>
      </c>
      <c r="W40" s="48" t="s">
        <v>571</v>
      </c>
      <c r="X40" s="48" t="s">
        <v>572</v>
      </c>
      <c r="Y40" s="48" t="s">
        <v>573</v>
      </c>
      <c r="Z40" s="48" t="s">
        <v>574</v>
      </c>
      <c r="AA40" s="48" t="s">
        <v>575</v>
      </c>
      <c r="AB40" s="48" t="s">
        <v>576</v>
      </c>
    </row>
    <row r="42" spans="1:41">
      <c r="AA42" s="48" t="s">
        <v>577</v>
      </c>
      <c r="AB42" s="48" t="s">
        <v>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2023-12-05T15:33:05Z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